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521" windowWidth="7635" windowHeight="8655" activeTab="0"/>
  </bookViews>
  <sheets>
    <sheet name="BrewPM10Emissions" sheetId="1" r:id="rId1"/>
    <sheet name="BrewPMEmissions" sheetId="2" r:id="rId2"/>
    <sheet name="DisaggregatedBrewery" sheetId="3" r:id="rId3"/>
    <sheet name="GrainNutsEmis" sheetId="4" r:id="rId4"/>
  </sheets>
  <definedNames>
    <definedName name="TABLE" localSheetId="2">'DisaggregatedBrewery'!$A$2:$Q$31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<sst xmlns="http://schemas.openxmlformats.org/spreadsheetml/2006/main" count="838" uniqueCount="355">
  <si>
    <t>US Production of Beer</t>
  </si>
  <si>
    <t>1997 Manufacturing Census Data</t>
  </si>
  <si>
    <t>312120, BREWERIES</t>
  </si>
  <si>
    <t xml:space="preserve"> No Establishments with &gt;19 employees</t>
  </si>
  <si>
    <t xml:space="preserve"> No Employees</t>
  </si>
  <si>
    <t xml:space="preserve"> Payroll ($1000)</t>
  </si>
  <si>
    <t xml:space="preserve"> Number of Production Workers</t>
  </si>
  <si>
    <t xml:space="preserve"> Hours (1000)</t>
  </si>
  <si>
    <t xml:space="preserve"> Value Added ($1000)</t>
  </si>
  <si>
    <t xml:space="preserve"> Cost of Materials ($1000)</t>
  </si>
  <si>
    <t xml:space="preserve"> Value of Shipments ($1000)</t>
  </si>
  <si>
    <t xml:space="preserve"> Total Capital Expenditures ($1000)</t>
  </si>
  <si>
    <t>United States</t>
  </si>
  <si>
    <t>California</t>
  </si>
  <si>
    <t>Canned beer</t>
  </si>
  <si>
    <t>Production</t>
  </si>
  <si>
    <t>Unit</t>
  </si>
  <si>
    <t>cases</t>
  </si>
  <si>
    <t>Bottled beer</t>
  </si>
  <si>
    <t>Beer in kegs</t>
  </si>
  <si>
    <t>bbl</t>
  </si>
  <si>
    <t>Unit multiplier</t>
  </si>
  <si>
    <t>Production (bbl)</t>
  </si>
  <si>
    <t>container size</t>
  </si>
  <si>
    <t>Dry brewers' spent grains</t>
  </si>
  <si>
    <t>tons</t>
  </si>
  <si>
    <t>Wet brewers' spent grains</t>
  </si>
  <si>
    <t>Canned beer and ale case goods</t>
  </si>
  <si>
    <t>NAIC</t>
  </si>
  <si>
    <t>US ($1000)</t>
  </si>
  <si>
    <t>CA ($1000)</t>
  </si>
  <si>
    <t>Value of 1997 product shipments</t>
  </si>
  <si>
    <t>Bottled beer and ale case goods</t>
  </si>
  <si>
    <t>Beer and ale in barrels and kegs</t>
  </si>
  <si>
    <t>All other malt beverages</t>
  </si>
  <si>
    <t>312120A</t>
  </si>
  <si>
    <t>Consumption</t>
  </si>
  <si>
    <t>Barley</t>
  </si>
  <si>
    <t>bushels</t>
  </si>
  <si>
    <t>Corn</t>
  </si>
  <si>
    <t>??</t>
  </si>
  <si>
    <t>Corn grits</t>
  </si>
  <si>
    <t>pounds</t>
  </si>
  <si>
    <t>Corn meal and flakes</t>
  </si>
  <si>
    <t>Malt</t>
  </si>
  <si>
    <t>No of Companies w/&gt;$100k shipments</t>
  </si>
  <si>
    <t>Value of shipments ($1000)</t>
  </si>
  <si>
    <t>Payroll ($1,000)</t>
  </si>
  <si>
    <t>Number of Establishments by Employment-size class</t>
  </si>
  <si>
    <t>County FIPS</t>
  </si>
  <si>
    <t>County Name</t>
  </si>
  <si>
    <t>Number of Employees for week including March 12</t>
  </si>
  <si>
    <t>Midpoint employee range</t>
  </si>
  <si>
    <t>1st Quarter</t>
  </si>
  <si>
    <t>Annual</t>
  </si>
  <si>
    <t>Total Estabs</t>
  </si>
  <si>
    <t>001-004</t>
  </si>
  <si>
    <t>005-009</t>
  </si>
  <si>
    <t>10-019</t>
  </si>
  <si>
    <t>20-49</t>
  </si>
  <si>
    <t>50-99</t>
  </si>
  <si>
    <t>100-249</t>
  </si>
  <si>
    <t>250-499</t>
  </si>
  <si>
    <t>500-999</t>
  </si>
  <si>
    <t>1000 or more</t>
  </si>
  <si>
    <t>Proportion of state total</t>
  </si>
  <si>
    <t>Alameda, CA</t>
  </si>
  <si>
    <t>Butte, CA</t>
  </si>
  <si>
    <t>Calaveras, CA</t>
  </si>
  <si>
    <t>Contra Costa, CA</t>
  </si>
  <si>
    <t>El Dorado, CA</t>
  </si>
  <si>
    <t>Fresno, CA</t>
  </si>
  <si>
    <t>Kern, CA</t>
  </si>
  <si>
    <t>Los Angeles, CA</t>
  </si>
  <si>
    <t>Mendocino, CA</t>
  </si>
  <si>
    <t>Nevada, CA</t>
  </si>
  <si>
    <t>Orange, CA</t>
  </si>
  <si>
    <t>Placer, CA</t>
  </si>
  <si>
    <t>Riverside, CA</t>
  </si>
  <si>
    <t>Sacramento, CA</t>
  </si>
  <si>
    <t>San Benito, CA</t>
  </si>
  <si>
    <t>San Bernardino, CA</t>
  </si>
  <si>
    <t>San Diego, CA</t>
  </si>
  <si>
    <t>San Luis Obispo, CA</t>
  </si>
  <si>
    <t>Santa Barbara, CA</t>
  </si>
  <si>
    <t>Santa Cruz, CA</t>
  </si>
  <si>
    <t>Solano, CA</t>
  </si>
  <si>
    <t>Sonoma, CA</t>
  </si>
  <si>
    <t>Stanislaus, CA</t>
  </si>
  <si>
    <t>Sutter, CA</t>
  </si>
  <si>
    <t>Humboldt, CA</t>
  </si>
  <si>
    <t>Napa, CA</t>
  </si>
  <si>
    <t>San Francisco, CA</t>
  </si>
  <si>
    <t>San Mateo, CA</t>
  </si>
  <si>
    <t>Santa Clara, CA</t>
  </si>
  <si>
    <t>EF</t>
  </si>
  <si>
    <t>units</t>
  </si>
  <si>
    <t>Activity</t>
  </si>
  <si>
    <t>Emissions</t>
  </si>
  <si>
    <t>lb PM10/ton malt</t>
  </si>
  <si>
    <t>@34 lb/cu. foot (according to Perry's)</t>
  </si>
  <si>
    <t>1.2445 cu. foot = 1 bushel</t>
  </si>
  <si>
    <t>moisture content = 60-80% according to http://www.vincentcorp.com/applications/issue46.html and other sources</t>
  </si>
  <si>
    <t>lb VOC/ton dried b.g.</t>
  </si>
  <si>
    <t>tons PM10</t>
  </si>
  <si>
    <t>tons VOC</t>
  </si>
  <si>
    <t>Fermentation (assume closed)</t>
  </si>
  <si>
    <t>lb VOC/bbl beer</t>
  </si>
  <si>
    <t>Bottling</t>
  </si>
  <si>
    <t>Canning</t>
  </si>
  <si>
    <t>Keg filling</t>
  </si>
  <si>
    <t>Brewers' grain drying</t>
  </si>
  <si>
    <t>Grain handling</t>
  </si>
  <si>
    <t>Total VOC</t>
  </si>
  <si>
    <t>moisture content = 10% according to http://www.vincentcorp.com/applications/issue46.html and other sources</t>
  </si>
  <si>
    <t xml:space="preserve"> Number of Establishments</t>
  </si>
  <si>
    <t>Business Operations</t>
  </si>
  <si>
    <t>http://www.aob.org/IBS/00.2_craftbrewfs.htm</t>
  </si>
  <si>
    <t>= year-2000 sales of US-made beer (bbl)</t>
  </si>
  <si>
    <t>U.S. Market Shares by Segment</t>
  </si>
  <si>
    <t xml:space="preserve">Imports </t>
  </si>
  <si>
    <t>% change</t>
  </si>
  <si>
    <t>Large Brewers + Traditional Regional Brewers</t>
  </si>
  <si>
    <t>Domestic Specialty or "Craft" Brewers</t>
  </si>
  <si>
    <t>Domestic Non Alcoholic Malt Beverages</t>
  </si>
  <si>
    <t>Exports Non Alcoholic Malt Beverages</t>
  </si>
  <si>
    <t>312 Beverage &amp; tobacco</t>
  </si>
  <si>
    <t>Year</t>
  </si>
  <si>
    <t xml:space="preserve"> All employees No.</t>
  </si>
  <si>
    <t xml:space="preserve"> Payroll</t>
  </si>
  <si>
    <t xml:space="preserve"> Production Workers No.</t>
  </si>
  <si>
    <t xml:space="preserve"> Hours</t>
  </si>
  <si>
    <t xml:space="preserve"> Wages</t>
  </si>
  <si>
    <t xml:space="preserve"> Value Added by Mfr ($1000)</t>
  </si>
  <si>
    <t>product mfg 1999</t>
  </si>
  <si>
    <t>Large Brewers Mkt Share</t>
  </si>
  <si>
    <t>Growth</t>
  </si>
  <si>
    <t>Standard Error</t>
  </si>
  <si>
    <t>http://www.census.gov/prod/2001pubs/m99-as3.pdf</t>
  </si>
  <si>
    <t>Other Info</t>
  </si>
  <si>
    <t>X</t>
  </si>
  <si>
    <t>Hardly any growth in these productivity measures.</t>
  </si>
  <si>
    <t>Normalized 2000 share</t>
  </si>
  <si>
    <t>http://www.beerinstitute.org/</t>
  </si>
  <si>
    <t>The U.S. brewing industry recorded its fifth consecutive year of growth in 2000. Beer shipments from brewers to wholesalers set an all-time record in 2000  rising 0.7% to 197.6 million barrels</t>
  </si>
  <si>
    <t>http://www.beerinstitute.org/stateindreport.htm</t>
  </si>
  <si>
    <t>Split of containers: 51% cans, 36% bottles, 3% refillable bottles, 10% draught</t>
  </si>
  <si>
    <t>http://www.beerinstitute.org/99almanacpgs1-15.pdf#page=8</t>
  </si>
  <si>
    <t>PRODUCTION OF MALT BEVERAGES  BY STATE (In Barrels of 31 Gallons), California 1995, 23,338,510 bbl of US 1995, 200,301,591 bbl, US 1997 200,290,000</t>
  </si>
  <si>
    <t>bbl US 1997 production</t>
  </si>
  <si>
    <t>VOC Emissions (tons/yr)</t>
  </si>
  <si>
    <t>PM10 Emissions (tons/yr)</t>
  </si>
  <si>
    <t>VOC Emissions (tons/day)</t>
  </si>
  <si>
    <t>PM10 Emissions (tons/day)</t>
  </si>
  <si>
    <t>CA production</t>
  </si>
  <si>
    <t>US production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</si>
  <si>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</si>
  <si>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</si>
  <si>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</si>
  <si>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</si>
  <si>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</si>
  <si>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</si>
  <si>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</si>
  <si>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</si>
  <si>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</si>
  <si>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</si>
  <si>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</si>
  <si>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</si>
  <si>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</si>
  <si>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Estimated Domestic Brewer Sales:</t>
  </si>
  <si>
    <t>http://www.beerinstitute.org/statistical_updates/February2001.pdf</t>
  </si>
  <si>
    <t>Exports of Malt Beverages</t>
  </si>
  <si>
    <t>http://www.beerinstitute.org/statistical_updates/March2001.pdf</t>
  </si>
  <si>
    <t>Monthly Sales (bbl)</t>
  </si>
  <si>
    <t>Total Sales (bbl)</t>
  </si>
  <si>
    <t>% of Yearly sales</t>
  </si>
  <si>
    <t>Jan-Mar</t>
  </si>
  <si>
    <t>Apr-Jun</t>
  </si>
  <si>
    <t>Jul-Sep</t>
  </si>
  <si>
    <t>Oct-Dec</t>
  </si>
  <si>
    <t>Avg</t>
  </si>
  <si>
    <t>=Growth from 97 to 2000</t>
  </si>
  <si>
    <t>1997 Reported Production</t>
  </si>
  <si>
    <t>Unreported Production</t>
  </si>
  <si>
    <t>?</t>
  </si>
  <si>
    <t>Growth from 97 to 99 (%)</t>
  </si>
  <si>
    <t>Annual Production</t>
  </si>
  <si>
    <t>Quarterly Sales</t>
  </si>
  <si>
    <t>Materials consumed in 1997</t>
  </si>
  <si>
    <t>US Emissions for 2000</t>
  </si>
  <si>
    <t>California Emissions for 2000</t>
  </si>
  <si>
    <t>Grain milling at brewery</t>
  </si>
  <si>
    <t>Total PM10</t>
  </si>
  <si>
    <t>convert to barrels of 31 gallons</t>
  </si>
  <si>
    <t>Brewing</t>
  </si>
  <si>
    <t>PM Emissions (tons/yr)</t>
  </si>
  <si>
    <t>na</t>
  </si>
  <si>
    <t>State total</t>
  </si>
  <si>
    <t>CCOSII total</t>
  </si>
  <si>
    <t>Nuts Processing EFs</t>
  </si>
  <si>
    <t>hi est</t>
  </si>
  <si>
    <t>lo est</t>
  </si>
  <si>
    <t>avg est</t>
  </si>
  <si>
    <t>best est</t>
  </si>
  <si>
    <t>PM:PM10</t>
  </si>
  <si>
    <t>PM</t>
  </si>
  <si>
    <t>PM10</t>
  </si>
  <si>
    <t>Nuts Processing Emis</t>
  </si>
  <si>
    <t>pm10 emis</t>
  </si>
  <si>
    <t>pm emis</t>
  </si>
  <si>
    <t>walnuts</t>
  </si>
  <si>
    <t>almonds</t>
  </si>
  <si>
    <t>pistachios</t>
  </si>
  <si>
    <t>grain elevators</t>
  </si>
  <si>
    <t>sunflower seeds</t>
  </si>
  <si>
    <t>milling</t>
  </si>
  <si>
    <t>Nuts Harvested (1999)</t>
  </si>
  <si>
    <t>Crop name</t>
  </si>
  <si>
    <t>tons ccos</t>
  </si>
  <si>
    <t>tons state</t>
  </si>
  <si>
    <t>proportion ccos</t>
  </si>
  <si>
    <t>Walnuts</t>
  </si>
  <si>
    <t>Rice Grain Elevator Emissions</t>
  </si>
  <si>
    <t>Almonds all</t>
  </si>
  <si>
    <t>employment</t>
  </si>
  <si>
    <t>proportion</t>
  </si>
  <si>
    <t>pm10</t>
  </si>
  <si>
    <t>pm</t>
  </si>
  <si>
    <t>Sunflower seed</t>
  </si>
  <si>
    <t>Butte</t>
  </si>
  <si>
    <t>Pistachios</t>
  </si>
  <si>
    <t>Colusa</t>
  </si>
  <si>
    <t>Pecans</t>
  </si>
  <si>
    <t>Sacramento</t>
  </si>
  <si>
    <t>Macadamia nuts</t>
  </si>
  <si>
    <t>Solano</t>
  </si>
  <si>
    <t>Fruits &amp; nuts % unspecified</t>
  </si>
  <si>
    <t>Sutter</t>
  </si>
  <si>
    <t>Yolo</t>
  </si>
  <si>
    <t>Yuba</t>
  </si>
  <si>
    <t>Rice Milling Emissions</t>
  </si>
  <si>
    <t>Disaggregated grain processing emissions</t>
  </si>
  <si>
    <t>Employment 1999</t>
  </si>
  <si>
    <t>Proportion</t>
  </si>
  <si>
    <t>Grain Elevators</t>
  </si>
  <si>
    <t>Animal Feed Processing</t>
  </si>
  <si>
    <t>Flour Milling</t>
  </si>
  <si>
    <t>El Dorado</t>
  </si>
  <si>
    <t>El dorado</t>
  </si>
  <si>
    <t>CCOS II Total</t>
  </si>
  <si>
    <t>Glenn</t>
  </si>
  <si>
    <t>Other Grains Processing Emissions</t>
  </si>
  <si>
    <t>Shasta</t>
  </si>
  <si>
    <t>Tehama</t>
  </si>
  <si>
    <t>grain production 2000</t>
  </si>
  <si>
    <t>corn animal feed milled 2000</t>
  </si>
  <si>
    <t>wheat flour milled 2000</t>
  </si>
  <si>
    <t>Disaggregated Nuts Processing emissions</t>
  </si>
  <si>
    <t>COUNTY</t>
  </si>
  <si>
    <t>Almonds</t>
  </si>
  <si>
    <t>PISTACHIOS</t>
  </si>
  <si>
    <t>SUNFLOWER SEED</t>
  </si>
  <si>
    <t>WALNUTS</t>
  </si>
  <si>
    <t>Harvest</t>
  </si>
  <si>
    <t>AMADOR</t>
  </si>
  <si>
    <t>BUTTE</t>
  </si>
  <si>
    <t>CALAVERAS</t>
  </si>
  <si>
    <t>COLUSA</t>
  </si>
  <si>
    <t>EL DORADO</t>
  </si>
  <si>
    <t>GLENN</t>
  </si>
  <si>
    <t>MARIPOSA</t>
  </si>
  <si>
    <t>MENDOCINO</t>
  </si>
  <si>
    <t>NEVADA</t>
  </si>
  <si>
    <t>PLACER</t>
  </si>
  <si>
    <t>PLUMAS</t>
  </si>
  <si>
    <t>SACRAMENTO</t>
  </si>
  <si>
    <t>SHASTA</t>
  </si>
  <si>
    <t>SIERRA</t>
  </si>
  <si>
    <t>SOLANO</t>
  </si>
  <si>
    <t>SUTTER</t>
  </si>
  <si>
    <t>TEHAMA</t>
  </si>
  <si>
    <t>TUOLUMNE</t>
  </si>
  <si>
    <t>YOLO</t>
  </si>
  <si>
    <t>YUBA</t>
  </si>
  <si>
    <t>Total  Emissions</t>
  </si>
  <si>
    <t>Brewery PM10</t>
  </si>
  <si>
    <t>Total PM10 for grain/nuts</t>
  </si>
  <si>
    <t>Roasted Nuts Activity Data</t>
  </si>
  <si>
    <t>NAICS_Description</t>
  </si>
  <si>
    <t>SumOfMidMarchEmployees</t>
  </si>
  <si>
    <t xml:space="preserve">     Roasted Nuts and Peanut Butter Manufacturing</t>
  </si>
  <si>
    <t>Seasonal PM10/VOC Distribution</t>
  </si>
  <si>
    <t>Monthly emissions PM10 (tons)</t>
  </si>
  <si>
    <t>emis (tons)</t>
  </si>
  <si>
    <t>Proportion of Emis</t>
  </si>
  <si>
    <t>Month</t>
  </si>
  <si>
    <t>Rice grain elevator</t>
  </si>
  <si>
    <t>transfer</t>
  </si>
  <si>
    <t>processing</t>
  </si>
  <si>
    <t>Rice milling</t>
  </si>
  <si>
    <t>Grain elevators</t>
  </si>
  <si>
    <t>processing corn</t>
  </si>
  <si>
    <t>processing wheat</t>
  </si>
  <si>
    <t>Animal feed and flourmills</t>
  </si>
  <si>
    <t>Almond hulling</t>
  </si>
  <si>
    <t>Walnuts/pistachios</t>
  </si>
  <si>
    <t>Sunflower</t>
  </si>
  <si>
    <t>Beer</t>
  </si>
  <si>
    <t>TOTAL</t>
  </si>
  <si>
    <t>voc</t>
  </si>
  <si>
    <t>Proportions</t>
  </si>
  <si>
    <t>Beer sales distribution</t>
  </si>
  <si>
    <t>sales</t>
  </si>
  <si>
    <t>Composite monthly emissions</t>
  </si>
  <si>
    <t>VOC</t>
  </si>
  <si>
    <t>Composite seasonal emissions</t>
  </si>
  <si>
    <t>Seasonal PM Distribution</t>
  </si>
  <si>
    <t>Monthly PM emissions (tons)</t>
  </si>
  <si>
    <t>Emis (tons)</t>
  </si>
  <si>
    <t>PM composit mo</t>
  </si>
  <si>
    <t>PM composit seas</t>
  </si>
  <si>
    <t>beer sales dist</t>
  </si>
  <si>
    <t>0% shelled</t>
  </si>
  <si>
    <t>hi</t>
  </si>
  <si>
    <t>lo</t>
  </si>
  <si>
    <t>avg</t>
  </si>
  <si>
    <t>hulling EFs</t>
  </si>
  <si>
    <t>agv est</t>
  </si>
  <si>
    <t>proportion hulled</t>
  </si>
  <si>
    <t>Total EF PM</t>
  </si>
  <si>
    <t>Total EF PM10</t>
  </si>
  <si>
    <t>Nuts Roasted</t>
  </si>
  <si>
    <t>rice production</t>
  </si>
  <si>
    <t>(1000 ton)</t>
  </si>
  <si>
    <t>Amador</t>
  </si>
  <si>
    <t>Grain</t>
  </si>
  <si>
    <t>1000 tons</t>
  </si>
  <si>
    <t>production</t>
  </si>
  <si>
    <t>pm10frac</t>
  </si>
  <si>
    <t>tons PM</t>
  </si>
  <si>
    <t>lb PM/ton malt</t>
  </si>
  <si>
    <t>Total PM</t>
  </si>
  <si>
    <t>1999 rice production (tons)</t>
  </si>
  <si>
    <t>2000 rice production (tons)</t>
  </si>
  <si>
    <t>2000 milled rice (tons)</t>
  </si>
  <si>
    <t>2000 pm10 emis (tons)</t>
  </si>
  <si>
    <t>2000 pm emis (tons)</t>
  </si>
  <si>
    <t>Rice Processing Emission Factors (lb per ton)</t>
  </si>
  <si>
    <t>pm10 (ton)</t>
  </si>
  <si>
    <t>pm (ton)</t>
  </si>
  <si>
    <t>emis (ton)</t>
  </si>
  <si>
    <t>Animal Feed</t>
  </si>
  <si>
    <t>Flourmill</t>
  </si>
  <si>
    <t>Emission Factors (lb/ton)</t>
  </si>
  <si>
    <t>overall average: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</si>
</sst>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E+00"/>
    <numFmt numFmtId="166" formatCode="0.000E+00"/>
    <numFmt numFmtId="167" formatCode="0.0000E+00"/>
    <numFmt numFmtId="168" formatCode="0.00000E+00"/>
    <numFmt numFmtId="169" formatCode="0.0000"/>
    <numFmt numFmtId="170" formatCode="#,##0.0"/>
    <numFmt numFmtId="171" formatCode="0.0"/>
    <numFmt numFmtId="172" formatCode="#,##0.0000"/>
    <numFmt numFmtId="173" formatCode="0.000"/>
    <numFmt numFmtId="174" formatCode="00000"/>
    <numFmt numFmtId="175" formatCode="#,##0.000"/>
    <numFmt numFmtId="176" formatCode="_(* #,##0.0_);_(* \(#,##0.0\);_(* &quot;-&quot;??_);_(@_)"/>
    <numFmt numFmtId="177" formatCode="_(* #,##0_);_(* \(#,##0\);_(* &quot;-&quot;??_);_(@_)"/>
    <numFmt numFmtId="178" formatCode="0.000000000000000%"/>
    <numFmt numFmtId="179" formatCode="0.0000000000000000%"/>
    <numFmt numFmtId="180" formatCode="_(* #,##0.0_);_(* \(#,##0.0\);_(* &quot;-&quot;?_);_(@_)"/>
    <numFmt numFmtId="181" formatCode="0.0000000"/>
    <numFmt numFmtId="182" formatCode="0.000000"/>
    <numFmt numFmtId="183" formatCode="0.00000"/>
    <numFmt numFmtId="184" formatCode="_(* #,##0.000_);_(* \(#,##0.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00"/>
    <numFmt numFmtId="189" formatCode="_(* #,##0.000_);_(* \(#,##0.000\);_(* &quot;-&quot;???_);_(@_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9.5"/>
      <name val="Arial"/>
      <family val="0"/>
    </font>
    <font>
      <sz val="11.25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0" fontId="0" fillId="0" borderId="0" xfId="21" applyNumberFormat="1" applyAlignment="1">
      <alignment/>
    </xf>
    <xf numFmtId="11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" fontId="1" fillId="0" borderId="4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6" xfId="0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 horizontal="right" wrapText="1"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0" fontId="0" fillId="0" borderId="0" xfId="0" applyAlignment="1" quotePrefix="1">
      <alignment/>
    </xf>
    <xf numFmtId="176" fontId="0" fillId="0" borderId="0" xfId="15" applyNumberFormat="1" applyAlignment="1">
      <alignment/>
    </xf>
    <xf numFmtId="177" fontId="0" fillId="0" borderId="0" xfId="15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7" fontId="1" fillId="0" borderId="0" xfId="15" applyNumberFormat="1" applyFont="1" applyAlignment="1">
      <alignment/>
    </xf>
    <xf numFmtId="0" fontId="1" fillId="0" borderId="7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6" fillId="0" borderId="0" xfId="20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7" fillId="0" borderId="0" xfId="20" applyFont="1" applyAlignment="1">
      <alignment/>
    </xf>
    <xf numFmtId="164" fontId="8" fillId="0" borderId="0" xfId="21" applyNumberFormat="1" applyFont="1" applyAlignment="1">
      <alignment/>
    </xf>
    <xf numFmtId="0" fontId="8" fillId="0" borderId="0" xfId="0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6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177" fontId="0" fillId="0" borderId="0" xfId="15" applyNumberFormat="1" applyAlignment="1">
      <alignment/>
    </xf>
    <xf numFmtId="0" fontId="0" fillId="0" borderId="0" xfId="21" applyNumberFormat="1" applyAlignment="1">
      <alignment/>
    </xf>
    <xf numFmtId="10" fontId="0" fillId="0" borderId="0" xfId="21" applyNumberFormat="1" applyAlignment="1">
      <alignment/>
    </xf>
    <xf numFmtId="177" fontId="0" fillId="0" borderId="0" xfId="15" applyNumberFormat="1" applyFont="1" applyAlignment="1">
      <alignment/>
    </xf>
    <xf numFmtId="176" fontId="0" fillId="0" borderId="0" xfId="15" applyNumberFormat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171" fontId="0" fillId="0" borderId="0" xfId="0" applyNumberFormat="1" applyAlignment="1">
      <alignment/>
    </xf>
    <xf numFmtId="177" fontId="0" fillId="0" borderId="0" xfId="15" applyNumberFormat="1" applyFont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1" fontId="0" fillId="0" borderId="0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43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9" fontId="0" fillId="0" borderId="12" xfId="21" applyBorder="1" applyAlignment="1">
      <alignment/>
    </xf>
    <xf numFmtId="9" fontId="0" fillId="0" borderId="0" xfId="21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9" fontId="0" fillId="0" borderId="4" xfId="21" applyBorder="1" applyAlignment="1">
      <alignment/>
    </xf>
    <xf numFmtId="0" fontId="0" fillId="0" borderId="11" xfId="0" applyBorder="1" applyAlignment="1">
      <alignment horizontal="right"/>
    </xf>
    <xf numFmtId="9" fontId="0" fillId="0" borderId="14" xfId="21" applyBorder="1" applyAlignment="1">
      <alignment/>
    </xf>
    <xf numFmtId="1" fontId="0" fillId="0" borderId="14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21" applyNumberFormat="1" applyBorder="1" applyAlignment="1">
      <alignment/>
    </xf>
    <xf numFmtId="0" fontId="0" fillId="0" borderId="13" xfId="0" applyBorder="1" applyAlignment="1">
      <alignment horizontal="right"/>
    </xf>
    <xf numFmtId="9" fontId="0" fillId="0" borderId="14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21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164" fontId="0" fillId="0" borderId="14" xfId="21" applyNumberFormat="1" applyBorder="1" applyAlignment="1">
      <alignment/>
    </xf>
    <xf numFmtId="171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4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4" xfId="0" applyBorder="1" applyAlignment="1">
      <alignment horizontal="right"/>
    </xf>
    <xf numFmtId="164" fontId="0" fillId="0" borderId="12" xfId="21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0" fontId="0" fillId="0" borderId="12" xfId="0" applyFill="1" applyBorder="1" applyAlignment="1">
      <alignment/>
    </xf>
    <xf numFmtId="43" fontId="0" fillId="0" borderId="0" xfId="15" applyNumberFormat="1" applyAlignment="1">
      <alignment/>
    </xf>
    <xf numFmtId="10" fontId="0" fillId="0" borderId="0" xfId="21" applyNumberFormat="1" applyBorder="1" applyAlignment="1">
      <alignment/>
    </xf>
    <xf numFmtId="10" fontId="0" fillId="0" borderId="12" xfId="21" applyNumberFormat="1" applyBorder="1" applyAlignment="1">
      <alignment/>
    </xf>
    <xf numFmtId="169" fontId="0" fillId="0" borderId="0" xfId="0" applyNumberFormat="1" applyAlignment="1">
      <alignment/>
    </xf>
    <xf numFmtId="177" fontId="0" fillId="0" borderId="11" xfId="15" applyNumberFormat="1" applyFill="1" applyBorder="1" applyAlignment="1">
      <alignment/>
    </xf>
    <xf numFmtId="177" fontId="0" fillId="0" borderId="13" xfId="15" applyNumberForma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VOC Emissions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BrewPM10Emissions!$A$45:$A$50</c:f>
              <c:strCache/>
            </c:strRef>
          </c:cat>
          <c:val>
            <c:numRef>
              <c:f>BrewPM10Emissions!$F$45:$F$50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 VOC Emissions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BrewPM10Emissions!$A$55:$A$60</c:f>
              <c:strCache/>
            </c:strRef>
          </c:cat>
          <c:val>
            <c:numRef>
              <c:f>BrewPM10Emissions!$F$55:$F$60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VOC Emissions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BrewPMEmissions!$A$45:$A$50</c:f>
              <c:strCache/>
            </c:strRef>
          </c:cat>
          <c:val>
            <c:numRef>
              <c:f>BrewPMEmissions!$F$45:$F$50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 VOC Emissions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BrewPMEmissions!$A$55:$A$60</c:f>
              <c:strCache/>
            </c:strRef>
          </c:cat>
          <c:val>
            <c:numRef>
              <c:f>BrewPMEmissions!$F$55:$F$60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1181100</xdr:colOff>
      <xdr:row>29</xdr:row>
      <xdr:rowOff>142875</xdr:rowOff>
    </xdr:from>
    <xdr:to>
      <xdr:col>10</xdr:col>
      <xdr:colOff>581025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9153525" y="5191125"/>
        <a:ext cx="3943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1181100</xdr:colOff>
      <xdr:row>51</xdr:row>
      <xdr:rowOff>104775</xdr:rowOff>
    </xdr:from>
    <xdr:to>
      <xdr:col>10</xdr:col>
      <xdr:colOff>619125</xdr:colOff>
      <xdr:row>68</xdr:row>
      <xdr:rowOff>123825</xdr:rowOff>
    </xdr:to>
    <xdr:graphicFrame>
      <xdr:nvGraphicFramePr>
        <xdr:cNvPr id="2" name="Chart 2"/>
        <xdr:cNvGraphicFramePr/>
      </xdr:nvGraphicFramePr>
      <xdr:xfrm>
        <a:off x="9153525" y="8715375"/>
        <a:ext cx="39814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1181100</xdr:colOff>
      <xdr:row>29</xdr:row>
      <xdr:rowOff>142875</xdr:rowOff>
    </xdr:from>
    <xdr:to>
      <xdr:col>10</xdr:col>
      <xdr:colOff>581025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9153525" y="5191125"/>
        <a:ext cx="3943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1181100</xdr:colOff>
      <xdr:row>51</xdr:row>
      <xdr:rowOff>104775</xdr:rowOff>
    </xdr:from>
    <xdr:to>
      <xdr:col>10</xdr:col>
      <xdr:colOff>619125</xdr:colOff>
      <xdr:row>68</xdr:row>
      <xdr:rowOff>123825</xdr:rowOff>
    </xdr:to>
    <xdr:graphicFrame>
      <xdr:nvGraphicFramePr>
        <xdr:cNvPr id="2" name="Chart 2"/>
        <xdr:cNvGraphicFramePr/>
      </xdr:nvGraphicFramePr>
      <xdr:xfrm>
        <a:off x="9153525" y="8715375"/>
        <a:ext cx="39814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ob.org/IBS/00.2_craftbrewfs.htm" TargetMode="External" /><Relationship Id="rId2" Type="http://schemas.openxmlformats.org/officeDocument/2006/relationships/hyperlink" Target="http://www.aob.org/IBS/00.2_craftbrewfs.htm" TargetMode="External" /><Relationship Id="rId3" Type="http://schemas.openxmlformats.org/officeDocument/2006/relationships/hyperlink" Target="http://www.beerinstitute.org/stateindreport.htm" TargetMode="External" /><Relationship Id="rId4" Type="http://schemas.openxmlformats.org/officeDocument/2006/relationships/hyperlink" Target="http://www.census.gov/prod/2001pubs/m99-as3.pdf" TargetMode="External" /><Relationship Id="rId5" Type="http://schemas.openxmlformats.org/officeDocument/2006/relationships/hyperlink" Target="http://www.beerinstitute.org/99almanacpgs1-15.pdf#page=8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ob.org/IBS/00.2_craftbrewfs.htm" TargetMode="External" /><Relationship Id="rId2" Type="http://schemas.openxmlformats.org/officeDocument/2006/relationships/hyperlink" Target="http://www.aob.org/IBS/00.2_craftbrewfs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6.8515625" style="0" customWidth="1"/>
    <col min="3" max="3" width="17.57421875" style="0" bestFit="1" customWidth="1"/>
    <col min="4" max="4" width="14.8515625" style="0" customWidth="1"/>
    <col min="5" max="5" width="20.57421875" style="0" bestFit="1" customWidth="1"/>
    <col min="6" max="7" width="17.7109375" style="0" customWidth="1"/>
    <col min="8" max="8" width="17.140625" style="0" bestFit="1" customWidth="1"/>
    <col min="9" max="9" width="14.140625" style="0" bestFit="1" customWidth="1"/>
    <col min="10" max="10" width="19.140625" style="0" bestFit="1" customWidth="1"/>
    <col min="11" max="11" width="15.8515625" style="0" customWidth="1"/>
    <col min="12" max="12" width="22.28125" style="0" bestFit="1" customWidth="1"/>
    <col min="13" max="13" width="30.7109375" style="0" bestFit="1" customWidth="1"/>
    <col min="14" max="16384" width="24.421875" style="0" customWidth="1"/>
  </cols>
  <sheetData>
    <row r="1" s="12" customFormat="1" ht="12.75">
      <c r="A1" s="12" t="s">
        <v>1</v>
      </c>
    </row>
    <row r="2" s="12" customFormat="1" ht="12.75"/>
    <row r="3" s="12" customFormat="1" ht="12.75">
      <c r="A3" s="12" t="s">
        <v>0</v>
      </c>
    </row>
    <row r="4" s="12" customFormat="1" ht="12.75">
      <c r="A4" s="12" t="s">
        <v>2</v>
      </c>
    </row>
    <row r="5" spans="1:12" s="12" customFormat="1" ht="27.75" customHeight="1">
      <c r="A5" s="12" t="s">
        <v>116</v>
      </c>
      <c r="B5" s="11" t="s">
        <v>115</v>
      </c>
      <c r="C5" s="11" t="s">
        <v>3</v>
      </c>
      <c r="D5" s="12" t="s">
        <v>4</v>
      </c>
      <c r="E5" s="12" t="s">
        <v>5</v>
      </c>
      <c r="F5" s="11" t="s">
        <v>6</v>
      </c>
      <c r="G5" s="12" t="s">
        <v>7</v>
      </c>
      <c r="H5" s="12" t="s">
        <v>5</v>
      </c>
      <c r="I5" s="11" t="s">
        <v>8</v>
      </c>
      <c r="J5" s="12" t="s">
        <v>9</v>
      </c>
      <c r="K5" s="11" t="s">
        <v>10</v>
      </c>
      <c r="L5" s="11" t="s">
        <v>11</v>
      </c>
    </row>
    <row r="6" spans="1:12" ht="12.75">
      <c r="A6" t="s">
        <v>12</v>
      </c>
      <c r="B6" s="20">
        <v>529</v>
      </c>
      <c r="C6" s="20">
        <v>156</v>
      </c>
      <c r="D6" s="20">
        <v>34251</v>
      </c>
      <c r="E6" s="20">
        <v>1598573</v>
      </c>
      <c r="F6" s="20">
        <v>24205</v>
      </c>
      <c r="G6" s="20">
        <v>43800</v>
      </c>
      <c r="H6" s="20">
        <v>1083121</v>
      </c>
      <c r="I6" s="20">
        <v>11234126</v>
      </c>
      <c r="J6" s="20">
        <v>6967213</v>
      </c>
      <c r="K6" s="20">
        <v>18203492</v>
      </c>
      <c r="L6" s="20">
        <v>977805</v>
      </c>
    </row>
    <row r="7" spans="1:12" ht="12.75">
      <c r="A7" t="s">
        <v>13</v>
      </c>
      <c r="B7" s="20">
        <v>66</v>
      </c>
      <c r="C7" s="20">
        <v>29</v>
      </c>
      <c r="D7" s="20">
        <v>3642</v>
      </c>
      <c r="E7" s="20">
        <v>169185</v>
      </c>
      <c r="F7" s="20">
        <v>2565</v>
      </c>
      <c r="G7" s="20">
        <v>4772</v>
      </c>
      <c r="H7" s="20">
        <v>121552</v>
      </c>
      <c r="I7" s="20">
        <v>1303861</v>
      </c>
      <c r="J7" s="20">
        <v>876473</v>
      </c>
      <c r="K7" s="20">
        <v>2176631</v>
      </c>
      <c r="L7" s="20">
        <v>170295</v>
      </c>
    </row>
    <row r="8" spans="2:14" ht="12.75">
      <c r="B8" s="3"/>
      <c r="C8" s="1"/>
      <c r="D8" s="1"/>
      <c r="E8" s="1"/>
      <c r="F8" s="1">
        <f>F7/F6</f>
        <v>0.10596984094195414</v>
      </c>
      <c r="G8" s="1">
        <f>G7/G6</f>
        <v>0.10894977168949772</v>
      </c>
      <c r="H8" s="1"/>
      <c r="I8" s="1"/>
      <c r="J8" s="1"/>
      <c r="K8" s="1">
        <f>K7/K6</f>
        <v>0.11957216780165036</v>
      </c>
      <c r="L8" s="1"/>
      <c r="N8" s="1"/>
    </row>
    <row r="10" spans="1:9" ht="25.5" customHeight="1">
      <c r="A10" s="12" t="s">
        <v>182</v>
      </c>
      <c r="B10" s="12" t="s">
        <v>23</v>
      </c>
      <c r="C10" s="12" t="s">
        <v>15</v>
      </c>
      <c r="D10" s="12" t="s">
        <v>21</v>
      </c>
      <c r="E10" s="12" t="s">
        <v>16</v>
      </c>
      <c r="F10" s="12" t="s">
        <v>22</v>
      </c>
      <c r="G10" s="11" t="s">
        <v>45</v>
      </c>
      <c r="H10" s="11" t="s">
        <v>46</v>
      </c>
      <c r="I10" s="12"/>
    </row>
    <row r="11" spans="1:9" ht="12.75">
      <c r="A11" t="s">
        <v>14</v>
      </c>
      <c r="B11">
        <v>12</v>
      </c>
      <c r="C11" s="20">
        <v>303937.1</v>
      </c>
      <c r="D11">
        <v>1000</v>
      </c>
      <c r="E11" t="s">
        <v>17</v>
      </c>
      <c r="F11" s="20">
        <f>B11*C11*D11*24/3967.3</f>
        <v>22063843.117485438</v>
      </c>
      <c r="G11">
        <v>20</v>
      </c>
      <c r="H11" s="20">
        <v>8369236</v>
      </c>
      <c r="I11" s="1"/>
    </row>
    <row r="12" spans="2:8" ht="12.75">
      <c r="B12">
        <v>16</v>
      </c>
      <c r="C12" s="20">
        <v>93232.9</v>
      </c>
      <c r="D12">
        <v>1000</v>
      </c>
      <c r="E12" t="s">
        <v>17</v>
      </c>
      <c r="F12" s="20">
        <f>B12*C12*D12*24/3967.3</f>
        <v>9024130.668212637</v>
      </c>
      <c r="G12">
        <v>11</v>
      </c>
      <c r="H12" s="20">
        <v>730009</v>
      </c>
    </row>
    <row r="13" spans="2:8" ht="12.75">
      <c r="B13">
        <v>24</v>
      </c>
      <c r="C13" s="20">
        <v>78311.7</v>
      </c>
      <c r="D13">
        <v>1000</v>
      </c>
      <c r="E13" t="s">
        <v>17</v>
      </c>
      <c r="F13" s="20">
        <f>B13*C13*D13*24/3967.3</f>
        <v>11369833.186297983</v>
      </c>
      <c r="G13">
        <v>6</v>
      </c>
      <c r="H13" s="20">
        <v>497666</v>
      </c>
    </row>
    <row r="14" spans="1:9" ht="12.75">
      <c r="A14" t="s">
        <v>18</v>
      </c>
      <c r="B14">
        <v>8</v>
      </c>
      <c r="C14" s="20"/>
      <c r="F14" s="49" t="s">
        <v>196</v>
      </c>
      <c r="H14" s="20"/>
      <c r="I14" s="1"/>
    </row>
    <row r="15" spans="2:9" ht="12.75">
      <c r="B15">
        <v>12</v>
      </c>
      <c r="C15" s="20">
        <v>108528.9</v>
      </c>
      <c r="D15">
        <v>1000</v>
      </c>
      <c r="E15" t="s">
        <v>17</v>
      </c>
      <c r="F15" s="20">
        <f>B15*C15*D15*24/3967.3</f>
        <v>7878487.434779319</v>
      </c>
      <c r="G15">
        <v>21</v>
      </c>
      <c r="H15" s="20">
        <v>778401</v>
      </c>
      <c r="I15" s="1"/>
    </row>
    <row r="16" spans="2:8" ht="12.75">
      <c r="B16">
        <v>32</v>
      </c>
      <c r="C16" s="20"/>
      <c r="F16" s="49" t="s">
        <v>196</v>
      </c>
      <c r="H16" s="20"/>
    </row>
    <row r="17" spans="2:8" ht="12.75">
      <c r="B17">
        <v>24</v>
      </c>
      <c r="C17" s="20"/>
      <c r="F17" s="49" t="s">
        <v>196</v>
      </c>
      <c r="H17" s="20"/>
    </row>
    <row r="18" spans="2:9" ht="12.75">
      <c r="B18">
        <v>8</v>
      </c>
      <c r="C18" s="20">
        <v>25733.9</v>
      </c>
      <c r="D18">
        <v>1000</v>
      </c>
      <c r="E18" t="s">
        <v>17</v>
      </c>
      <c r="F18" s="20">
        <f>B18*C18*D18*24/3967.3</f>
        <v>1245408.4137826732</v>
      </c>
      <c r="G18">
        <v>8</v>
      </c>
      <c r="H18" s="20">
        <v>124863</v>
      </c>
      <c r="I18" s="1"/>
    </row>
    <row r="19" spans="2:9" ht="12.75">
      <c r="B19">
        <v>12</v>
      </c>
      <c r="C19" s="20">
        <v>549489.4</v>
      </c>
      <c r="D19">
        <v>1000</v>
      </c>
      <c r="E19" t="s">
        <v>17</v>
      </c>
      <c r="F19" s="20">
        <f>B19*C19*D19*24/3967.3</f>
        <v>39889332.0898344</v>
      </c>
      <c r="G19">
        <v>41</v>
      </c>
      <c r="H19" s="20">
        <v>4263786</v>
      </c>
      <c r="I19" s="1"/>
    </row>
    <row r="20" spans="2:9" ht="12.75">
      <c r="B20">
        <v>32</v>
      </c>
      <c r="C20" s="20">
        <v>36106.8</v>
      </c>
      <c r="D20">
        <v>1000</v>
      </c>
      <c r="E20" t="s">
        <v>17</v>
      </c>
      <c r="F20" s="20">
        <f>B20*C20*D20*24/3967.3</f>
        <v>6989645.955687747</v>
      </c>
      <c r="G20">
        <v>8</v>
      </c>
      <c r="H20" s="20">
        <v>260350</v>
      </c>
      <c r="I20" s="1"/>
    </row>
    <row r="21" spans="2:9" ht="12.75">
      <c r="B21">
        <v>24</v>
      </c>
      <c r="C21" s="20">
        <v>98081.9</v>
      </c>
      <c r="D21">
        <v>1000</v>
      </c>
      <c r="E21" t="s">
        <v>17</v>
      </c>
      <c r="F21" s="20">
        <f>B21*C21*D21*24/3967.3</f>
        <v>14240207.294633625</v>
      </c>
      <c r="G21">
        <v>19</v>
      </c>
      <c r="H21" s="20">
        <v>495914</v>
      </c>
      <c r="I21" s="1"/>
    </row>
    <row r="22" spans="2:9" ht="12.75">
      <c r="B22">
        <v>12</v>
      </c>
      <c r="C22" s="20">
        <v>5713.4</v>
      </c>
      <c r="D22">
        <v>1000</v>
      </c>
      <c r="E22" t="s">
        <v>17</v>
      </c>
      <c r="F22" s="20">
        <f>B22*C22*D22*24/3967.3</f>
        <v>414755.4256043151</v>
      </c>
      <c r="G22">
        <v>19</v>
      </c>
      <c r="H22" s="20">
        <v>84650</v>
      </c>
      <c r="I22" s="1"/>
    </row>
    <row r="23" spans="1:9" ht="12.75">
      <c r="A23" t="s">
        <v>19</v>
      </c>
      <c r="B23">
        <v>1</v>
      </c>
      <c r="C23" s="20">
        <v>18832.8</v>
      </c>
      <c r="D23">
        <v>1000</v>
      </c>
      <c r="E23" t="s">
        <v>20</v>
      </c>
      <c r="F23" s="20">
        <f>C23*D23</f>
        <v>18832800</v>
      </c>
      <c r="G23">
        <v>59</v>
      </c>
      <c r="H23" s="20">
        <v>1003027</v>
      </c>
      <c r="I23" s="1"/>
    </row>
    <row r="24" spans="2:9" ht="12.75">
      <c r="B24">
        <v>1</v>
      </c>
      <c r="C24" s="20">
        <v>966.2</v>
      </c>
      <c r="D24">
        <v>1000</v>
      </c>
      <c r="E24" t="s">
        <v>20</v>
      </c>
      <c r="F24" s="20">
        <f>C24*D24</f>
        <v>966200</v>
      </c>
      <c r="G24">
        <v>25</v>
      </c>
      <c r="H24" s="20">
        <v>55618</v>
      </c>
      <c r="I24" s="1"/>
    </row>
    <row r="25" spans="1:9" ht="12.75">
      <c r="A25" t="s">
        <v>183</v>
      </c>
      <c r="C25" s="20"/>
      <c r="F25" s="20">
        <f>B90-SUM(F11:F24)</f>
        <v>67375356.41368188</v>
      </c>
      <c r="H25" s="20"/>
      <c r="I25" s="1"/>
    </row>
    <row r="26" spans="1:6" ht="12.75">
      <c r="A26" t="s">
        <v>24</v>
      </c>
      <c r="C26" s="20">
        <v>275.4</v>
      </c>
      <c r="D26">
        <v>1000</v>
      </c>
      <c r="E26" t="s">
        <v>25</v>
      </c>
      <c r="F26" t="s">
        <v>114</v>
      </c>
    </row>
    <row r="27" spans="1:6" ht="12.75">
      <c r="A27" t="s">
        <v>26</v>
      </c>
      <c r="C27" s="20">
        <v>2858.2</v>
      </c>
      <c r="D27">
        <v>1000</v>
      </c>
      <c r="E27" t="s">
        <v>25</v>
      </c>
      <c r="F27" t="s">
        <v>102</v>
      </c>
    </row>
    <row r="29" spans="1:4" ht="12.75">
      <c r="A29" s="12" t="s">
        <v>31</v>
      </c>
      <c r="B29" s="12" t="s">
        <v>28</v>
      </c>
      <c r="C29" s="12" t="s">
        <v>29</v>
      </c>
      <c r="D29" s="12" t="s">
        <v>30</v>
      </c>
    </row>
    <row r="30" spans="1:4" ht="12.75">
      <c r="A30" t="s">
        <v>27</v>
      </c>
      <c r="B30">
        <v>3121201</v>
      </c>
      <c r="C30">
        <v>9694616</v>
      </c>
      <c r="D30">
        <f>K7-SUM(D31:D33)</f>
        <v>1243767</v>
      </c>
    </row>
    <row r="31" spans="1:4" ht="12.75">
      <c r="A31" t="s">
        <v>32</v>
      </c>
      <c r="B31">
        <f>+B30+3</f>
        <v>3121204</v>
      </c>
      <c r="C31">
        <v>6209755</v>
      </c>
      <c r="D31">
        <v>766455</v>
      </c>
    </row>
    <row r="32" spans="1:4" ht="12.75">
      <c r="A32" t="s">
        <v>33</v>
      </c>
      <c r="B32">
        <f>+B31+3</f>
        <v>3121207</v>
      </c>
      <c r="C32">
        <v>1113941</v>
      </c>
      <c r="D32">
        <v>133133</v>
      </c>
    </row>
    <row r="33" spans="1:4" ht="12.75">
      <c r="A33" t="s">
        <v>34</v>
      </c>
      <c r="B33" s="23" t="s">
        <v>35</v>
      </c>
      <c r="C33">
        <v>605156</v>
      </c>
      <c r="D33">
        <v>33276</v>
      </c>
    </row>
    <row r="35" spans="1:5" ht="12.75">
      <c r="A35" s="12" t="s">
        <v>188</v>
      </c>
      <c r="B35" s="12"/>
      <c r="C35" s="12" t="s">
        <v>36</v>
      </c>
      <c r="D35" s="12" t="s">
        <v>21</v>
      </c>
      <c r="E35" s="12" t="s">
        <v>16</v>
      </c>
    </row>
    <row r="36" spans="1:6" ht="12.75">
      <c r="A36" t="s">
        <v>37</v>
      </c>
      <c r="C36">
        <f>15.5/69294*1362</f>
        <v>0.30465841198372157</v>
      </c>
      <c r="D36" s="2">
        <v>1000000</v>
      </c>
      <c r="E36" t="s">
        <v>38</v>
      </c>
      <c r="F36" s="18" t="s">
        <v>100</v>
      </c>
    </row>
    <row r="37" spans="1:6" ht="12.75">
      <c r="A37" t="s">
        <v>39</v>
      </c>
      <c r="C37" t="s">
        <v>40</v>
      </c>
      <c r="F37" t="s">
        <v>101</v>
      </c>
    </row>
    <row r="38" spans="1:5" ht="12.75">
      <c r="A38" t="s">
        <v>41</v>
      </c>
      <c r="C38">
        <v>5492.4</v>
      </c>
      <c r="D38">
        <v>100000</v>
      </c>
      <c r="E38" t="s">
        <v>42</v>
      </c>
    </row>
    <row r="39" spans="1:3" ht="12.75">
      <c r="A39" t="s">
        <v>43</v>
      </c>
      <c r="C39" t="s">
        <v>40</v>
      </c>
    </row>
    <row r="40" spans="1:5" ht="12.75">
      <c r="A40" t="s">
        <v>44</v>
      </c>
      <c r="C40">
        <v>56282.2</v>
      </c>
      <c r="D40">
        <v>100000</v>
      </c>
      <c r="E40" t="s">
        <v>42</v>
      </c>
    </row>
    <row r="42" spans="1:7" ht="12.75">
      <c r="A42" s="12" t="s">
        <v>189</v>
      </c>
      <c r="B42" s="12" t="s">
        <v>95</v>
      </c>
      <c r="C42" s="12" t="s">
        <v>96</v>
      </c>
      <c r="D42" s="12" t="s">
        <v>97</v>
      </c>
      <c r="E42" s="12" t="s">
        <v>96</v>
      </c>
      <c r="F42" s="12" t="s">
        <v>98</v>
      </c>
      <c r="G42" s="12" t="s">
        <v>96</v>
      </c>
    </row>
    <row r="43" spans="1:7" ht="12.75">
      <c r="A43" t="s">
        <v>112</v>
      </c>
      <c r="B43">
        <f>(0.014*3+0.015)*(1-0.85)</f>
        <v>0.008550000000000002</v>
      </c>
      <c r="C43" t="s">
        <v>99</v>
      </c>
      <c r="D43" s="20">
        <f>(C38*D38+C40*D40+C36*D36*1.2445*34)/2000*B87</f>
        <v>3177640.6199038895</v>
      </c>
      <c r="E43" t="s">
        <v>25</v>
      </c>
      <c r="F43" s="20">
        <f aca="true" t="shared" si="0" ref="F43:F50">D43*B43/2000</f>
        <v>13.58441365008913</v>
      </c>
      <c r="G43" t="s">
        <v>104</v>
      </c>
    </row>
    <row r="44" spans="1:7" ht="12.75">
      <c r="A44" t="s">
        <v>191</v>
      </c>
      <c r="B44">
        <f>0.7+(0.014)*(1-0.85)</f>
        <v>0.7021</v>
      </c>
      <c r="C44" t="s">
        <v>99</v>
      </c>
      <c r="D44" s="20">
        <f>D43*E66</f>
        <v>3071483.3608870558</v>
      </c>
      <c r="E44" t="s">
        <v>25</v>
      </c>
      <c r="F44" s="20">
        <f t="shared" si="0"/>
        <v>1078.2442338394007</v>
      </c>
      <c r="G44" t="s">
        <v>104</v>
      </c>
    </row>
    <row r="45" spans="1:7" ht="12.75">
      <c r="A45" t="s">
        <v>111</v>
      </c>
      <c r="B45">
        <v>0.73</v>
      </c>
      <c r="C45" t="s">
        <v>103</v>
      </c>
      <c r="D45" s="20">
        <f>C26*D26*B87</f>
        <v>282737.5136278601</v>
      </c>
      <c r="E45" t="s">
        <v>25</v>
      </c>
      <c r="F45" s="20">
        <f t="shared" si="0"/>
        <v>103.19919247416894</v>
      </c>
      <c r="G45" t="s">
        <v>105</v>
      </c>
    </row>
    <row r="46" spans="1:7" ht="12.75">
      <c r="A46" t="s">
        <v>194</v>
      </c>
      <c r="B46">
        <f>1.054/1000</f>
        <v>0.001054</v>
      </c>
      <c r="C46" t="s">
        <v>107</v>
      </c>
      <c r="D46" s="20">
        <f>B90*B87</f>
        <v>205626349.32652178</v>
      </c>
      <c r="E46" t="s">
        <v>20</v>
      </c>
      <c r="F46" s="20">
        <f t="shared" si="0"/>
        <v>108.36508609507699</v>
      </c>
      <c r="G46" t="s">
        <v>105</v>
      </c>
    </row>
    <row r="47" spans="1:7" ht="12.75">
      <c r="A47" t="s">
        <v>106</v>
      </c>
      <c r="B47">
        <f>2.605/1000</f>
        <v>0.002605</v>
      </c>
      <c r="C47" t="s">
        <v>107</v>
      </c>
      <c r="D47" s="20">
        <f>B90*B87</f>
        <v>205626349.32652178</v>
      </c>
      <c r="E47" t="s">
        <v>20</v>
      </c>
      <c r="F47" s="20">
        <f t="shared" si="0"/>
        <v>267.8283199977946</v>
      </c>
      <c r="G47" t="s">
        <v>105</v>
      </c>
    </row>
    <row r="48" spans="1:7" ht="12.75">
      <c r="A48" t="s">
        <v>108</v>
      </c>
      <c r="B48">
        <f>17/1000</f>
        <v>0.017</v>
      </c>
      <c r="C48" t="s">
        <v>107</v>
      </c>
      <c r="D48" s="20">
        <f>B90*C92*B87</f>
        <v>104869438.1565261</v>
      </c>
      <c r="E48" t="s">
        <v>20</v>
      </c>
      <c r="F48" s="20">
        <f t="shared" si="0"/>
        <v>891.3902243304719</v>
      </c>
      <c r="G48" t="s">
        <v>105</v>
      </c>
    </row>
    <row r="49" spans="1:7" ht="12.75">
      <c r="A49" t="s">
        <v>109</v>
      </c>
      <c r="B49">
        <f>14/1000</f>
        <v>0.014</v>
      </c>
      <c r="C49" t="s">
        <v>107</v>
      </c>
      <c r="D49" s="20">
        <f>B90*D92*B87</f>
        <v>80194276.23734349</v>
      </c>
      <c r="E49" t="s">
        <v>20</v>
      </c>
      <c r="F49" s="20">
        <f t="shared" si="0"/>
        <v>561.3599336614044</v>
      </c>
      <c r="G49" t="s">
        <v>105</v>
      </c>
    </row>
    <row r="50" spans="1:7" ht="12.75">
      <c r="A50" t="s">
        <v>110</v>
      </c>
      <c r="B50">
        <f>0.69/1000</f>
        <v>0.00069</v>
      </c>
      <c r="C50" t="s">
        <v>107</v>
      </c>
      <c r="D50" s="20">
        <f>B90*E92*B87</f>
        <v>20562634.93265218</v>
      </c>
      <c r="E50" t="s">
        <v>20</v>
      </c>
      <c r="F50" s="20">
        <f t="shared" si="0"/>
        <v>7.094109051765002</v>
      </c>
      <c r="G50" t="s">
        <v>105</v>
      </c>
    </row>
    <row r="51" spans="4:6" ht="12.75">
      <c r="D51" s="20"/>
      <c r="F51" s="20"/>
    </row>
    <row r="52" spans="1:7" ht="12.75">
      <c r="A52" s="12" t="s">
        <v>190</v>
      </c>
      <c r="B52" s="12"/>
      <c r="C52" s="12"/>
      <c r="D52" s="24"/>
      <c r="E52" s="12"/>
      <c r="F52" s="12" t="s">
        <v>98</v>
      </c>
      <c r="G52" s="12" t="s">
        <v>96</v>
      </c>
    </row>
    <row r="53" spans="1:7" ht="12.75">
      <c r="A53" t="s">
        <v>112</v>
      </c>
      <c r="B53">
        <f>(0.014*3+0.015)*(1-0.85)</f>
        <v>0.008550000000000002</v>
      </c>
      <c r="C53" t="s">
        <v>99</v>
      </c>
      <c r="D53" s="20">
        <f aca="true" t="shared" si="1" ref="D53:D60">F53/F43*D43</f>
        <v>379957.37741648813</v>
      </c>
      <c r="E53" t="s">
        <v>25</v>
      </c>
      <c r="F53" s="19">
        <f>F43*$K$7/$K$6</f>
        <v>1.6243177884554871</v>
      </c>
      <c r="G53" t="s">
        <v>104</v>
      </c>
    </row>
    <row r="54" spans="1:7" ht="12.75">
      <c r="A54" t="s">
        <v>191</v>
      </c>
      <c r="B54">
        <f>0.7+(0.014)*(1-0.85)</f>
        <v>0.7021</v>
      </c>
      <c r="C54" t="s">
        <v>99</v>
      </c>
      <c r="D54" s="20">
        <f t="shared" si="1"/>
        <v>367263.92382796406</v>
      </c>
      <c r="E54" t="s">
        <v>25</v>
      </c>
      <c r="F54" s="19">
        <f>F44*$K$7/$K$6</f>
        <v>128.92800045980675</v>
      </c>
      <c r="G54" t="s">
        <v>104</v>
      </c>
    </row>
    <row r="55" spans="1:7" ht="12.75">
      <c r="A55" t="s">
        <v>111</v>
      </c>
      <c r="B55">
        <v>0.73</v>
      </c>
      <c r="C55" t="s">
        <v>103</v>
      </c>
      <c r="D55" s="20">
        <f t="shared" si="1"/>
        <v>33807.537423331894</v>
      </c>
      <c r="E55" t="s">
        <v>25</v>
      </c>
      <c r="F55" s="20">
        <f>F45*$K$7/$K$6</f>
        <v>12.33975115951614</v>
      </c>
      <c r="G55" t="s">
        <v>105</v>
      </c>
    </row>
    <row r="56" spans="1:7" ht="12.75">
      <c r="A56" t="s">
        <v>194</v>
      </c>
      <c r="B56">
        <f>1.054/1000</f>
        <v>0.001054</v>
      </c>
      <c r="C56" t="s">
        <v>107</v>
      </c>
      <c r="D56" s="20">
        <f t="shared" si="1"/>
        <v>24587188.346111637</v>
      </c>
      <c r="E56" t="s">
        <v>20</v>
      </c>
      <c r="F56" s="20">
        <f>F46*$K$7/$K$6</f>
        <v>12.957448258400834</v>
      </c>
      <c r="G56" t="s">
        <v>105</v>
      </c>
    </row>
    <row r="57" spans="1:7" ht="12.75">
      <c r="A57" t="s">
        <v>106</v>
      </c>
      <c r="B57">
        <f>2.605/1000</f>
        <v>0.002605</v>
      </c>
      <c r="C57" t="s">
        <v>107</v>
      </c>
      <c r="D57" s="20">
        <f t="shared" si="1"/>
        <v>24587188.34611164</v>
      </c>
      <c r="E57" t="s">
        <v>20</v>
      </c>
      <c r="F57" s="20">
        <f>F47*$K$7/$K$6</f>
        <v>32.02481282081041</v>
      </c>
      <c r="G57" t="s">
        <v>105</v>
      </c>
    </row>
    <row r="58" spans="1:7" ht="12.75">
      <c r="A58" t="s">
        <v>108</v>
      </c>
      <c r="B58">
        <f>17/1000</f>
        <v>0.017</v>
      </c>
      <c r="C58" t="s">
        <v>107</v>
      </c>
      <c r="D58" s="20">
        <f t="shared" si="1"/>
        <v>12943780.42648385</v>
      </c>
      <c r="E58" t="s">
        <v>20</v>
      </c>
      <c r="F58" s="20">
        <f>F48*D31/C31</f>
        <v>110.02213362511273</v>
      </c>
      <c r="G58" t="s">
        <v>105</v>
      </c>
    </row>
    <row r="59" spans="1:7" ht="12.75">
      <c r="A59" t="s">
        <v>109</v>
      </c>
      <c r="B59">
        <f>14/1000</f>
        <v>0.014</v>
      </c>
      <c r="C59" t="s">
        <v>107</v>
      </c>
      <c r="D59" s="20">
        <f t="shared" si="1"/>
        <v>10288493.569306096</v>
      </c>
      <c r="E59" t="s">
        <v>20</v>
      </c>
      <c r="F59" s="20">
        <f>F49*D30/C30</f>
        <v>72.01945498514267</v>
      </c>
      <c r="G59" t="s">
        <v>105</v>
      </c>
    </row>
    <row r="60" spans="1:7" ht="12.75">
      <c r="A60" t="s">
        <v>110</v>
      </c>
      <c r="B60">
        <f>0.69/1000</f>
        <v>0.00069</v>
      </c>
      <c r="C60" t="s">
        <v>107</v>
      </c>
      <c r="D60" s="20">
        <f t="shared" si="1"/>
        <v>2457549.6157236183</v>
      </c>
      <c r="E60" t="s">
        <v>20</v>
      </c>
      <c r="F60" s="19">
        <f>F50*D32/C32</f>
        <v>0.8478546174246482</v>
      </c>
      <c r="G60" t="s">
        <v>105</v>
      </c>
    </row>
    <row r="61" spans="1:7" ht="12.75">
      <c r="A61" t="s">
        <v>113</v>
      </c>
      <c r="F61" s="21">
        <f>SUM(F55:F60)</f>
        <v>240.21145546640744</v>
      </c>
      <c r="G61" t="s">
        <v>105</v>
      </c>
    </row>
    <row r="62" spans="1:7" ht="12.75">
      <c r="A62" t="s">
        <v>192</v>
      </c>
      <c r="F62" s="40">
        <f>F53+F54</f>
        <v>130.55231824826225</v>
      </c>
      <c r="G62" t="s">
        <v>104</v>
      </c>
    </row>
    <row r="63" ht="12.75">
      <c r="B63" s="14"/>
    </row>
    <row r="64" spans="1:4" ht="12.75">
      <c r="A64" s="12" t="s">
        <v>135</v>
      </c>
      <c r="B64" s="12" t="s">
        <v>119</v>
      </c>
      <c r="C64" s="12"/>
      <c r="D64" s="28" t="s">
        <v>117</v>
      </c>
    </row>
    <row r="65" spans="1:5" ht="12.75">
      <c r="A65" s="12"/>
      <c r="B65" s="12">
        <v>1999</v>
      </c>
      <c r="C65" s="12">
        <v>2000</v>
      </c>
      <c r="D65" s="12" t="s">
        <v>121</v>
      </c>
      <c r="E65" s="12" t="s">
        <v>142</v>
      </c>
    </row>
    <row r="66" spans="1:5" ht="12.75">
      <c r="A66" t="s">
        <v>122</v>
      </c>
      <c r="B66" s="16">
        <v>0.88</v>
      </c>
      <c r="C66" s="16">
        <v>0.868</v>
      </c>
      <c r="D66">
        <v>-1.2</v>
      </c>
      <c r="E66" s="17">
        <f>C66/SUM(C66,C68)</f>
        <v>0.9665924276169264</v>
      </c>
    </row>
    <row r="67" spans="1:5" ht="12.75">
      <c r="A67" t="s">
        <v>120</v>
      </c>
      <c r="B67" s="16">
        <v>0.091</v>
      </c>
      <c r="C67" s="16">
        <v>0.102</v>
      </c>
      <c r="D67">
        <v>1.1</v>
      </c>
      <c r="E67" s="16">
        <v>0</v>
      </c>
    </row>
    <row r="68" spans="1:5" ht="12.75">
      <c r="A68" t="s">
        <v>123</v>
      </c>
      <c r="B68" s="16">
        <v>0.029</v>
      </c>
      <c r="C68" s="16">
        <v>0.03</v>
      </c>
      <c r="D68">
        <v>0.1</v>
      </c>
      <c r="E68" s="17">
        <f>C68/SUM(C66,C68)</f>
        <v>0.03340757238307349</v>
      </c>
    </row>
    <row r="71" spans="1:13" ht="12.75">
      <c r="A71" s="12" t="s">
        <v>136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2" t="s">
        <v>126</v>
      </c>
      <c r="B72" s="28" t="s">
        <v>138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2" t="s">
        <v>127</v>
      </c>
      <c r="B73" s="12" t="s">
        <v>128</v>
      </c>
      <c r="C73" s="12" t="s">
        <v>129</v>
      </c>
      <c r="D73" s="12" t="s">
        <v>130</v>
      </c>
      <c r="E73" s="12" t="s">
        <v>131</v>
      </c>
      <c r="F73" s="12" t="s">
        <v>132</v>
      </c>
      <c r="G73" s="12" t="s">
        <v>133</v>
      </c>
      <c r="H73" s="12" t="s">
        <v>9</v>
      </c>
      <c r="I73" s="12" t="s">
        <v>10</v>
      </c>
      <c r="J73" s="12" t="s">
        <v>11</v>
      </c>
      <c r="K73" s="12" t="s">
        <v>137</v>
      </c>
      <c r="L73" s="12" t="s">
        <v>137</v>
      </c>
      <c r="M73" s="12" t="s">
        <v>137</v>
      </c>
    </row>
    <row r="74" spans="1:13" ht="12.75">
      <c r="A74" t="s">
        <v>134</v>
      </c>
      <c r="B74" s="20">
        <v>29140</v>
      </c>
      <c r="C74" s="20">
        <v>1115694</v>
      </c>
      <c r="D74" s="20">
        <v>14171</v>
      </c>
      <c r="E74" s="20">
        <v>27151</v>
      </c>
      <c r="F74" s="20">
        <v>492311</v>
      </c>
      <c r="G74" s="20">
        <v>5914753</v>
      </c>
      <c r="H74" s="20">
        <v>6323771</v>
      </c>
      <c r="I74" s="20">
        <v>12282033</v>
      </c>
      <c r="J74" s="20">
        <v>665962</v>
      </c>
      <c r="K74" s="20">
        <v>1</v>
      </c>
      <c r="L74" s="20">
        <v>2</v>
      </c>
      <c r="M74" s="20">
        <v>12</v>
      </c>
    </row>
    <row r="75" spans="1:13" ht="12.75">
      <c r="A75">
        <v>1998</v>
      </c>
      <c r="B75" s="20">
        <v>28766</v>
      </c>
      <c r="C75" s="20">
        <v>1081865</v>
      </c>
      <c r="D75" s="20">
        <v>14358</v>
      </c>
      <c r="E75" s="20">
        <v>28432</v>
      </c>
      <c r="F75" s="20">
        <v>502874</v>
      </c>
      <c r="G75" s="20">
        <v>6031483</v>
      </c>
      <c r="H75" s="20">
        <v>6391435</v>
      </c>
      <c r="I75" s="20">
        <v>12092994</v>
      </c>
      <c r="J75" s="20">
        <v>558070</v>
      </c>
      <c r="K75" s="20">
        <v>1</v>
      </c>
      <c r="L75" s="20">
        <v>2</v>
      </c>
      <c r="M75" s="20">
        <v>8</v>
      </c>
    </row>
    <row r="76" spans="1:13" ht="12.75">
      <c r="A76">
        <v>1997</v>
      </c>
      <c r="B76" s="20">
        <v>28096</v>
      </c>
      <c r="C76" s="20">
        <v>1027150</v>
      </c>
      <c r="D76" s="20">
        <v>13898</v>
      </c>
      <c r="E76" s="20">
        <v>27088</v>
      </c>
      <c r="F76" s="20">
        <v>460153</v>
      </c>
      <c r="G76" s="20">
        <v>5546106</v>
      </c>
      <c r="H76" s="20">
        <v>6259011</v>
      </c>
      <c r="I76" s="20">
        <v>11204637</v>
      </c>
      <c r="J76" s="20">
        <v>590028</v>
      </c>
      <c r="K76" s="20" t="s">
        <v>140</v>
      </c>
      <c r="L76" s="20" t="s">
        <v>140</v>
      </c>
      <c r="M76" s="20" t="s">
        <v>140</v>
      </c>
    </row>
    <row r="77" spans="1:10" ht="12.75">
      <c r="A77" t="s">
        <v>185</v>
      </c>
      <c r="B77" s="17">
        <f aca="true" t="shared" si="2" ref="B77:J77">B74/B76</f>
        <v>1.0371583143507972</v>
      </c>
      <c r="C77" s="17">
        <f t="shared" si="2"/>
        <v>1.0862035729932338</v>
      </c>
      <c r="D77" s="32">
        <f t="shared" si="2"/>
        <v>1.0196431141171391</v>
      </c>
      <c r="E77" s="32">
        <f t="shared" si="2"/>
        <v>1.0023257531010041</v>
      </c>
      <c r="F77" s="17">
        <f t="shared" si="2"/>
        <v>1.069885451143424</v>
      </c>
      <c r="G77" s="17">
        <f t="shared" si="2"/>
        <v>1.066469519334827</v>
      </c>
      <c r="H77" s="17">
        <f t="shared" si="2"/>
        <v>1.0103466825669423</v>
      </c>
      <c r="I77" s="17">
        <f t="shared" si="2"/>
        <v>1.0961562610194333</v>
      </c>
      <c r="J77" s="17">
        <f t="shared" si="2"/>
        <v>1.128695587328059</v>
      </c>
    </row>
    <row r="78" ht="12.75">
      <c r="D78" s="33" t="s">
        <v>141</v>
      </c>
    </row>
    <row r="80" spans="1:4" ht="12.75">
      <c r="A80" s="12" t="s">
        <v>139</v>
      </c>
      <c r="B80" s="14">
        <v>176860000</v>
      </c>
      <c r="C80" s="27" t="s">
        <v>118</v>
      </c>
      <c r="D80" s="28" t="s">
        <v>117</v>
      </c>
    </row>
    <row r="81" spans="2:3" ht="12.75">
      <c r="B81" s="14">
        <v>1490000</v>
      </c>
      <c r="C81" s="26" t="s">
        <v>124</v>
      </c>
    </row>
    <row r="82" spans="2:3" ht="12.75">
      <c r="B82" s="14">
        <v>4380000</v>
      </c>
      <c r="C82" t="s">
        <v>125</v>
      </c>
    </row>
    <row r="85" ht="12.75">
      <c r="B85" s="31" t="s">
        <v>143</v>
      </c>
    </row>
    <row r="86" ht="12.75">
      <c r="B86" t="s">
        <v>144</v>
      </c>
    </row>
    <row r="87" spans="2:3" ht="12.75">
      <c r="B87" s="36">
        <f>D77+0.007</f>
        <v>1.026643114117139</v>
      </c>
      <c r="C87" s="37" t="s">
        <v>181</v>
      </c>
    </row>
    <row r="88" spans="1:2" ht="12.75">
      <c r="A88" s="14"/>
      <c r="B88" s="28" t="s">
        <v>145</v>
      </c>
    </row>
    <row r="89" ht="12.75">
      <c r="B89" t="s">
        <v>148</v>
      </c>
    </row>
    <row r="90" spans="1:5" ht="12.75">
      <c r="A90" s="30" t="s">
        <v>193</v>
      </c>
      <c r="B90">
        <v>200290000</v>
      </c>
      <c r="C90" t="s">
        <v>149</v>
      </c>
      <c r="E90" s="17">
        <f>23338510/B90</f>
        <v>0.11652359079334965</v>
      </c>
    </row>
    <row r="91" ht="12.75">
      <c r="B91" t="s">
        <v>146</v>
      </c>
    </row>
    <row r="92" spans="3:5" ht="12.75">
      <c r="C92" s="29">
        <v>0.51</v>
      </c>
      <c r="D92" s="29">
        <v>0.39</v>
      </c>
      <c r="E92" s="29">
        <v>0.1</v>
      </c>
    </row>
    <row r="93" ht="12.75">
      <c r="B93" s="28" t="s">
        <v>147</v>
      </c>
    </row>
    <row r="94" spans="1:10" ht="12.75">
      <c r="A94" s="12" t="s">
        <v>186</v>
      </c>
      <c r="B94" s="12">
        <v>1989</v>
      </c>
      <c r="C94" s="12">
        <f>B94+1</f>
        <v>1990</v>
      </c>
      <c r="D94" s="12">
        <f aca="true" t="shared" si="3" ref="D94:J94">C94+1</f>
        <v>1991</v>
      </c>
      <c r="E94" s="12">
        <f t="shared" si="3"/>
        <v>1992</v>
      </c>
      <c r="F94" s="12">
        <f t="shared" si="3"/>
        <v>1993</v>
      </c>
      <c r="G94" s="12">
        <f t="shared" si="3"/>
        <v>1994</v>
      </c>
      <c r="H94" s="12">
        <f t="shared" si="3"/>
        <v>1995</v>
      </c>
      <c r="I94" s="12">
        <f t="shared" si="3"/>
        <v>1996</v>
      </c>
      <c r="J94" s="12">
        <f t="shared" si="3"/>
        <v>1997</v>
      </c>
    </row>
    <row r="95" spans="1:8" ht="12.75">
      <c r="A95" t="s">
        <v>154</v>
      </c>
      <c r="B95" s="14">
        <v>23670909</v>
      </c>
      <c r="C95" s="14">
        <v>22950590</v>
      </c>
      <c r="D95" s="14">
        <v>22518917</v>
      </c>
      <c r="E95" s="14">
        <v>22782968</v>
      </c>
      <c r="F95" s="14">
        <v>22575606</v>
      </c>
      <c r="G95" s="14">
        <v>23054016</v>
      </c>
      <c r="H95" s="14">
        <v>23338510</v>
      </c>
    </row>
    <row r="96" spans="1:10" ht="12.75">
      <c r="A96" s="30" t="s">
        <v>155</v>
      </c>
      <c r="B96" s="14">
        <v>197480115</v>
      </c>
      <c r="C96" s="14">
        <v>201690728</v>
      </c>
      <c r="D96" s="14">
        <v>203706789</v>
      </c>
      <c r="E96" s="14">
        <v>201394757</v>
      </c>
      <c r="F96" s="14">
        <v>202276650</v>
      </c>
      <c r="G96" s="14">
        <v>202805201</v>
      </c>
      <c r="H96" s="14">
        <v>200301591</v>
      </c>
      <c r="I96" s="14">
        <v>200050473</v>
      </c>
      <c r="J96" s="14">
        <v>200290000</v>
      </c>
    </row>
    <row r="97" spans="2:8" ht="12.75">
      <c r="B97" s="17">
        <f>B95/B96</f>
        <v>0.11986477220757139</v>
      </c>
      <c r="C97" s="17">
        <f aca="true" t="shared" si="4" ref="C97:H97">C95/C96</f>
        <v>0.1137910018352455</v>
      </c>
      <c r="D97" s="17">
        <f t="shared" si="4"/>
        <v>0.11054573640154919</v>
      </c>
      <c r="E97" s="17">
        <f t="shared" si="4"/>
        <v>0.11312592412721052</v>
      </c>
      <c r="F97" s="17">
        <f t="shared" si="4"/>
        <v>0.11160757309358248</v>
      </c>
      <c r="G97" s="17">
        <f t="shared" si="4"/>
        <v>0.11367566456049616</v>
      </c>
      <c r="H97" s="17">
        <f t="shared" si="4"/>
        <v>0.11651684783672038</v>
      </c>
    </row>
    <row r="99" spans="1:15" ht="12.75">
      <c r="A99" s="38" t="s">
        <v>173</v>
      </c>
      <c r="B99" s="12"/>
      <c r="C99" s="11" t="s">
        <v>156</v>
      </c>
      <c r="D99" s="12" t="s">
        <v>157</v>
      </c>
      <c r="E99" s="12" t="s">
        <v>158</v>
      </c>
      <c r="F99" s="12" t="s">
        <v>159</v>
      </c>
      <c r="G99" s="12" t="s">
        <v>160</v>
      </c>
      <c r="H99" s="12" t="s">
        <v>161</v>
      </c>
      <c r="I99" s="12" t="s">
        <v>162</v>
      </c>
      <c r="J99" s="12" t="s">
        <v>163</v>
      </c>
      <c r="K99" s="12" t="s">
        <v>164</v>
      </c>
      <c r="L99" s="12" t="s">
        <v>165</v>
      </c>
      <c r="M99" s="12" t="s">
        <v>166</v>
      </c>
      <c r="N99" s="12" t="s">
        <v>167</v>
      </c>
      <c r="O99" s="12" t="s">
        <v>168</v>
      </c>
    </row>
    <row r="100" spans="1:15" ht="12.75">
      <c r="A100" t="s">
        <v>169</v>
      </c>
      <c r="B100" s="22">
        <v>2000</v>
      </c>
      <c r="C100" s="20">
        <v>13900000</v>
      </c>
      <c r="D100" s="20">
        <v>13700000</v>
      </c>
      <c r="E100" s="20">
        <v>15650000</v>
      </c>
      <c r="F100" s="20">
        <v>15300000</v>
      </c>
      <c r="G100" s="20">
        <v>16850000</v>
      </c>
      <c r="H100" s="20">
        <v>16800000</v>
      </c>
      <c r="I100" s="20">
        <v>16300000</v>
      </c>
      <c r="J100" s="20">
        <v>16450000</v>
      </c>
      <c r="K100" s="20">
        <v>15000000</v>
      </c>
      <c r="L100" s="20">
        <v>14100000</v>
      </c>
      <c r="M100" s="20">
        <v>13500000</v>
      </c>
      <c r="N100" s="20">
        <v>11950000</v>
      </c>
      <c r="O100" s="20">
        <v>179500000</v>
      </c>
    </row>
    <row r="101" spans="1:15" ht="12.75">
      <c r="A101" s="31" t="s">
        <v>170</v>
      </c>
      <c r="B101" s="22">
        <v>1999</v>
      </c>
      <c r="C101" s="20">
        <v>13800000</v>
      </c>
      <c r="D101" s="20">
        <v>13500000</v>
      </c>
      <c r="E101" s="20">
        <v>15850000</v>
      </c>
      <c r="F101" s="20">
        <v>15300000</v>
      </c>
      <c r="G101" s="20">
        <v>16350000.000000002</v>
      </c>
      <c r="H101" s="20">
        <v>17050000</v>
      </c>
      <c r="I101" s="20">
        <v>16350000.000000002</v>
      </c>
      <c r="J101" s="20">
        <v>15750000</v>
      </c>
      <c r="K101" s="20">
        <v>15100000</v>
      </c>
      <c r="L101" s="20">
        <v>13900000</v>
      </c>
      <c r="M101" s="20">
        <v>13700000</v>
      </c>
      <c r="N101" s="20">
        <v>13150000</v>
      </c>
      <c r="O101" s="20">
        <v>179800000</v>
      </c>
    </row>
    <row r="102" spans="1:15" ht="12.75">
      <c r="A102" s="30" t="s">
        <v>171</v>
      </c>
      <c r="B102">
        <v>2000</v>
      </c>
      <c r="C102" s="20">
        <v>127400</v>
      </c>
      <c r="D102" s="20">
        <v>159400</v>
      </c>
      <c r="E102" s="20">
        <v>172100</v>
      </c>
      <c r="F102" s="20">
        <v>159000</v>
      </c>
      <c r="G102" s="20">
        <v>199200</v>
      </c>
      <c r="H102" s="20">
        <v>263000</v>
      </c>
      <c r="I102" s="20">
        <v>195200</v>
      </c>
      <c r="J102" s="20">
        <v>218200</v>
      </c>
      <c r="K102" s="20">
        <v>180100</v>
      </c>
      <c r="L102" s="20">
        <v>213000</v>
      </c>
      <c r="M102" s="20">
        <v>212600</v>
      </c>
      <c r="N102" s="20">
        <v>131700</v>
      </c>
      <c r="O102" s="20">
        <v>2231000</v>
      </c>
    </row>
    <row r="103" spans="1:15" ht="12.75">
      <c r="A103" s="31" t="s">
        <v>172</v>
      </c>
      <c r="B103">
        <v>1999</v>
      </c>
      <c r="C103" s="20">
        <v>182600</v>
      </c>
      <c r="D103" s="20">
        <v>181900</v>
      </c>
      <c r="E103" s="20">
        <v>222200</v>
      </c>
      <c r="F103" s="20">
        <v>234500</v>
      </c>
      <c r="G103" s="20">
        <v>243000</v>
      </c>
      <c r="H103" s="20">
        <v>291300</v>
      </c>
      <c r="I103" s="20">
        <v>237600</v>
      </c>
      <c r="J103" s="20">
        <v>225300</v>
      </c>
      <c r="K103" s="20">
        <v>243900</v>
      </c>
      <c r="L103" s="20">
        <v>258200</v>
      </c>
      <c r="M103" s="20">
        <v>222600</v>
      </c>
      <c r="N103" s="20">
        <v>142100</v>
      </c>
      <c r="O103" s="20">
        <v>2685000</v>
      </c>
    </row>
    <row r="104" spans="1:15" ht="12.75">
      <c r="A104" t="s">
        <v>174</v>
      </c>
      <c r="B104">
        <v>2000</v>
      </c>
      <c r="C104" s="21">
        <f>C100+C102</f>
        <v>14027400</v>
      </c>
      <c r="D104" s="21">
        <f aca="true" t="shared" si="5" ref="D104:O104">D100+D102</f>
        <v>13859400</v>
      </c>
      <c r="E104" s="21">
        <f t="shared" si="5"/>
        <v>15822100</v>
      </c>
      <c r="F104" s="21">
        <f t="shared" si="5"/>
        <v>15459000</v>
      </c>
      <c r="G104" s="21">
        <f t="shared" si="5"/>
        <v>17049200</v>
      </c>
      <c r="H104" s="21">
        <f t="shared" si="5"/>
        <v>17063000</v>
      </c>
      <c r="I104" s="21">
        <f t="shared" si="5"/>
        <v>16495200</v>
      </c>
      <c r="J104" s="21">
        <f t="shared" si="5"/>
        <v>16668200</v>
      </c>
      <c r="K104" s="21">
        <f t="shared" si="5"/>
        <v>15180100</v>
      </c>
      <c r="L104" s="21">
        <f t="shared" si="5"/>
        <v>14313000</v>
      </c>
      <c r="M104" s="21">
        <f t="shared" si="5"/>
        <v>13712600</v>
      </c>
      <c r="N104" s="21">
        <f t="shared" si="5"/>
        <v>12081700</v>
      </c>
      <c r="O104" s="21">
        <f t="shared" si="5"/>
        <v>181731000</v>
      </c>
    </row>
    <row r="105" spans="2:15" ht="12.75">
      <c r="B105">
        <v>1999</v>
      </c>
      <c r="C105" s="21">
        <f aca="true" t="shared" si="6" ref="C105:O105">C101+C103</f>
        <v>13982600</v>
      </c>
      <c r="D105" s="21">
        <f t="shared" si="6"/>
        <v>13681900</v>
      </c>
      <c r="E105" s="21">
        <f t="shared" si="6"/>
        <v>16072200</v>
      </c>
      <c r="F105" s="21">
        <f t="shared" si="6"/>
        <v>15534500</v>
      </c>
      <c r="G105" s="21">
        <f t="shared" si="6"/>
        <v>16593000.000000002</v>
      </c>
      <c r="H105" s="21">
        <f t="shared" si="6"/>
        <v>17341300</v>
      </c>
      <c r="I105" s="21">
        <f t="shared" si="6"/>
        <v>16587600.000000002</v>
      </c>
      <c r="J105" s="21">
        <f t="shared" si="6"/>
        <v>15975300</v>
      </c>
      <c r="K105" s="21">
        <f t="shared" si="6"/>
        <v>15343900</v>
      </c>
      <c r="L105" s="21">
        <f t="shared" si="6"/>
        <v>14158200</v>
      </c>
      <c r="M105" s="21">
        <f t="shared" si="6"/>
        <v>13922600</v>
      </c>
      <c r="N105" s="21">
        <f t="shared" si="6"/>
        <v>13292100</v>
      </c>
      <c r="O105" s="21">
        <f t="shared" si="6"/>
        <v>182485000</v>
      </c>
    </row>
    <row r="106" spans="1:15" ht="12.75">
      <c r="A106" t="s">
        <v>175</v>
      </c>
      <c r="B106">
        <v>2000</v>
      </c>
      <c r="C106" s="17">
        <f>C104/$O104</f>
        <v>0.07718771150766793</v>
      </c>
      <c r="D106" s="17">
        <f aca="true" t="shared" si="7" ref="D106:O106">D104/$O104</f>
        <v>0.0762632682371197</v>
      </c>
      <c r="E106" s="17">
        <f t="shared" si="7"/>
        <v>0.08706329685083998</v>
      </c>
      <c r="F106" s="17">
        <f t="shared" si="7"/>
        <v>0.08506528880598246</v>
      </c>
      <c r="G106" s="17">
        <f t="shared" si="7"/>
        <v>0.09381558457280266</v>
      </c>
      <c r="H106" s="17">
        <f t="shared" si="7"/>
        <v>0.09389152098431197</v>
      </c>
      <c r="I106" s="17">
        <f t="shared" si="7"/>
        <v>0.09076712283539957</v>
      </c>
      <c r="J106" s="17">
        <f t="shared" si="7"/>
        <v>0.09171907929852365</v>
      </c>
      <c r="K106" s="17">
        <f t="shared" si="7"/>
        <v>0.08353060292410211</v>
      </c>
      <c r="L106" s="17">
        <f t="shared" si="7"/>
        <v>0.07875926506759992</v>
      </c>
      <c r="M106" s="17">
        <f t="shared" si="7"/>
        <v>0.07545548090309304</v>
      </c>
      <c r="N106" s="17">
        <f t="shared" si="7"/>
        <v>0.0664812277487055</v>
      </c>
      <c r="O106" s="17">
        <f t="shared" si="7"/>
        <v>1</v>
      </c>
    </row>
    <row r="107" spans="1:15" ht="12.75">
      <c r="A107" s="30"/>
      <c r="B107">
        <v>1999</v>
      </c>
      <c r="C107" s="17">
        <f aca="true" t="shared" si="8" ref="C107:O107">C105/$O105</f>
        <v>0.07662328410554292</v>
      </c>
      <c r="D107" s="17">
        <f t="shared" si="8"/>
        <v>0.07497547743650163</v>
      </c>
      <c r="E107" s="17">
        <f t="shared" si="8"/>
        <v>0.08807408828122859</v>
      </c>
      <c r="F107" s="17">
        <f t="shared" si="8"/>
        <v>0.08512754472970381</v>
      </c>
      <c r="G107" s="17">
        <f t="shared" si="8"/>
        <v>0.09092802148121765</v>
      </c>
      <c r="H107" s="17">
        <f t="shared" si="8"/>
        <v>0.09502863249034167</v>
      </c>
      <c r="I107" s="17">
        <f t="shared" si="8"/>
        <v>0.09089843000794587</v>
      </c>
      <c r="J107" s="17">
        <f t="shared" si="8"/>
        <v>0.08754308573307396</v>
      </c>
      <c r="K107" s="17">
        <f t="shared" si="8"/>
        <v>0.08408307532125928</v>
      </c>
      <c r="L107" s="17">
        <f t="shared" si="8"/>
        <v>0.07758555497712141</v>
      </c>
      <c r="M107" s="17">
        <f t="shared" si="8"/>
        <v>0.07629448995807875</v>
      </c>
      <c r="N107" s="17">
        <f t="shared" si="8"/>
        <v>0.07283941145847604</v>
      </c>
      <c r="O107" s="17">
        <f t="shared" si="8"/>
        <v>1</v>
      </c>
    </row>
    <row r="108" spans="1:15" ht="12.75">
      <c r="A108" s="30"/>
      <c r="B108" t="s">
        <v>180</v>
      </c>
      <c r="C108" s="35">
        <f aca="true" t="shared" si="9" ref="C108:N108">AVERAGE(C106:C107)</f>
        <v>0.07690549780660542</v>
      </c>
      <c r="D108" s="35">
        <f t="shared" si="9"/>
        <v>0.07561937283681067</v>
      </c>
      <c r="E108" s="35">
        <f t="shared" si="9"/>
        <v>0.08756869256603428</v>
      </c>
      <c r="F108" s="35">
        <f t="shared" si="9"/>
        <v>0.08509641676784313</v>
      </c>
      <c r="G108" s="35">
        <f t="shared" si="9"/>
        <v>0.09237180302701015</v>
      </c>
      <c r="H108" s="35">
        <f t="shared" si="9"/>
        <v>0.09446007673732681</v>
      </c>
      <c r="I108" s="35">
        <f t="shared" si="9"/>
        <v>0.09083277642167273</v>
      </c>
      <c r="J108" s="35">
        <f t="shared" si="9"/>
        <v>0.0896310825157988</v>
      </c>
      <c r="K108" s="35">
        <f t="shared" si="9"/>
        <v>0.08380683912268069</v>
      </c>
      <c r="L108" s="35">
        <f t="shared" si="9"/>
        <v>0.07817241002236067</v>
      </c>
      <c r="M108" s="35">
        <f t="shared" si="9"/>
        <v>0.07587498543058589</v>
      </c>
      <c r="N108" s="35">
        <f t="shared" si="9"/>
        <v>0.06966031960359077</v>
      </c>
      <c r="O108" s="17"/>
    </row>
    <row r="109" spans="1:6" ht="12.75">
      <c r="A109" s="12" t="s">
        <v>187</v>
      </c>
      <c r="B109" s="12"/>
      <c r="C109" s="12" t="s">
        <v>176</v>
      </c>
      <c r="D109" s="12" t="s">
        <v>177</v>
      </c>
      <c r="E109" s="12" t="s">
        <v>178</v>
      </c>
      <c r="F109" s="12" t="s">
        <v>179</v>
      </c>
    </row>
    <row r="110" spans="1:6" ht="12.75">
      <c r="A110" t="s">
        <v>175</v>
      </c>
      <c r="B110">
        <v>2000</v>
      </c>
      <c r="C110" s="35">
        <f>C106+D106+E106</f>
        <v>0.24051427659562757</v>
      </c>
      <c r="D110" s="35">
        <f>F106+G106+H106</f>
        <v>0.2727723943630971</v>
      </c>
      <c r="E110" s="35">
        <f>I106+J106+K106</f>
        <v>0.26601680505802533</v>
      </c>
      <c r="F110" s="35">
        <f>L106+M106+N106</f>
        <v>0.22069597371939847</v>
      </c>
    </row>
    <row r="111" spans="2:6" ht="12.75">
      <c r="B111">
        <v>1999</v>
      </c>
      <c r="C111" s="35">
        <f>C107+D107+E107</f>
        <v>0.23967284982327314</v>
      </c>
      <c r="D111" s="35">
        <f>F107+G107+H107</f>
        <v>0.2710841987012631</v>
      </c>
      <c r="E111" s="35">
        <f>I107+J107+K107</f>
        <v>0.2625245910622791</v>
      </c>
      <c r="F111" s="35">
        <f>L107+M107+N107</f>
        <v>0.2267194563936762</v>
      </c>
    </row>
    <row r="112" spans="2:6" ht="12.75">
      <c r="B112" t="s">
        <v>180</v>
      </c>
      <c r="C112" s="35">
        <f>AVERAGE(C110:C111)</f>
        <v>0.24009356320945036</v>
      </c>
      <c r="D112" s="35">
        <f>AVERAGE(D110:D111)</f>
        <v>0.2719282965321801</v>
      </c>
      <c r="E112" s="35">
        <f>AVERAGE(E110:E111)</f>
        <v>0.26427069806015224</v>
      </c>
      <c r="F112" s="35">
        <f>AVERAGE(F110:F111)</f>
        <v>0.22370771505653733</v>
      </c>
    </row>
    <row r="113" ht="12.75">
      <c r="D113" s="35"/>
    </row>
  </sheetData>
  <hyperlinks>
    <hyperlink ref="D80" r:id="rId1" display="http://www.aob.org/IBS/00.2_craftbrewfs.htm"/>
    <hyperlink ref="D64" r:id="rId2" display="http://www.aob.org/IBS/00.2_craftbrewfs.htm"/>
    <hyperlink ref="B88" r:id="rId3" display="http://www.beerinstitute.org/stateindreport.htm"/>
    <hyperlink ref="B72" r:id="rId4" display="http://www.census.gov/prod/2001pubs/m99-as3.pdf"/>
    <hyperlink ref="B93" r:id="rId5" display="http://www.beerinstitute.org/99almanacpgs1-15.pdf#page=8"/>
  </hyperlinks>
  <printOptions/>
  <pageMargins left="0.75" right="0.75" top="1" bottom="1" header="0.5" footer="0.5"/>
  <pageSetup horizontalDpi="300" verticalDpi="3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6.8515625" style="0" customWidth="1"/>
    <col min="3" max="3" width="17.57421875" style="0" bestFit="1" customWidth="1"/>
    <col min="4" max="4" width="14.8515625" style="0" customWidth="1"/>
    <col min="5" max="5" width="20.57421875" style="0" bestFit="1" customWidth="1"/>
    <col min="6" max="7" width="17.7109375" style="0" customWidth="1"/>
    <col min="8" max="8" width="17.140625" style="0" bestFit="1" customWidth="1"/>
    <col min="9" max="9" width="14.140625" style="0" bestFit="1" customWidth="1"/>
    <col min="10" max="10" width="19.140625" style="0" bestFit="1" customWidth="1"/>
    <col min="11" max="11" width="15.8515625" style="0" customWidth="1"/>
    <col min="12" max="12" width="22.28125" style="0" bestFit="1" customWidth="1"/>
    <col min="13" max="13" width="30.7109375" style="0" bestFit="1" customWidth="1"/>
    <col min="14" max="16384" width="24.421875" style="0" customWidth="1"/>
  </cols>
  <sheetData>
    <row r="1" s="12" customFormat="1" ht="12.75">
      <c r="A1" s="12" t="s">
        <v>1</v>
      </c>
    </row>
    <row r="2" s="12" customFormat="1" ht="12.75"/>
    <row r="3" s="12" customFormat="1" ht="12.75">
      <c r="A3" s="12" t="s">
        <v>0</v>
      </c>
    </row>
    <row r="4" s="12" customFormat="1" ht="12.75">
      <c r="A4" s="12" t="s">
        <v>2</v>
      </c>
    </row>
    <row r="5" spans="1:12" s="12" customFormat="1" ht="27.75" customHeight="1">
      <c r="A5" s="12" t="s">
        <v>116</v>
      </c>
      <c r="B5" s="11" t="s">
        <v>115</v>
      </c>
      <c r="C5" s="11" t="s">
        <v>3</v>
      </c>
      <c r="D5" s="12" t="s">
        <v>4</v>
      </c>
      <c r="E5" s="12" t="s">
        <v>5</v>
      </c>
      <c r="F5" s="11" t="s">
        <v>6</v>
      </c>
      <c r="G5" s="12" t="s">
        <v>7</v>
      </c>
      <c r="H5" s="12" t="s">
        <v>5</v>
      </c>
      <c r="I5" s="11" t="s">
        <v>8</v>
      </c>
      <c r="J5" s="12" t="s">
        <v>9</v>
      </c>
      <c r="K5" s="11" t="s">
        <v>10</v>
      </c>
      <c r="L5" s="11" t="s">
        <v>11</v>
      </c>
    </row>
    <row r="6" spans="1:12" ht="12.75">
      <c r="A6" t="s">
        <v>12</v>
      </c>
      <c r="B6" s="41">
        <v>529</v>
      </c>
      <c r="C6" s="41">
        <v>156</v>
      </c>
      <c r="D6" s="41">
        <v>34251</v>
      </c>
      <c r="E6" s="41">
        <v>1598573</v>
      </c>
      <c r="F6" s="41">
        <v>24205</v>
      </c>
      <c r="G6" s="41">
        <v>43800</v>
      </c>
      <c r="H6" s="41">
        <v>1083121</v>
      </c>
      <c r="I6" s="41">
        <v>11234126</v>
      </c>
      <c r="J6" s="41">
        <v>6967213</v>
      </c>
      <c r="K6" s="41">
        <v>18203492</v>
      </c>
      <c r="L6" s="41">
        <v>977805</v>
      </c>
    </row>
    <row r="7" spans="1:12" ht="12.75">
      <c r="A7" t="s">
        <v>13</v>
      </c>
      <c r="B7" s="41">
        <v>66</v>
      </c>
      <c r="C7" s="41">
        <v>29</v>
      </c>
      <c r="D7" s="41">
        <v>3642</v>
      </c>
      <c r="E7" s="41">
        <v>169185</v>
      </c>
      <c r="F7" s="41">
        <v>2565</v>
      </c>
      <c r="G7" s="41">
        <v>4772</v>
      </c>
      <c r="H7" s="41">
        <v>121552</v>
      </c>
      <c r="I7" s="41">
        <v>1303861</v>
      </c>
      <c r="J7" s="41">
        <v>876473</v>
      </c>
      <c r="K7" s="41">
        <v>2176631</v>
      </c>
      <c r="L7" s="41">
        <v>170295</v>
      </c>
    </row>
    <row r="8" spans="2:14" ht="12.75">
      <c r="B8" s="42"/>
      <c r="C8" s="43"/>
      <c r="D8" s="43"/>
      <c r="E8" s="43"/>
      <c r="F8" s="43">
        <f>F7/F6</f>
        <v>0.10596984094195414</v>
      </c>
      <c r="G8" s="43">
        <f>G7/G6</f>
        <v>0.10894977168949772</v>
      </c>
      <c r="H8" s="43"/>
      <c r="I8" s="43"/>
      <c r="J8" s="43"/>
      <c r="K8" s="43">
        <f>K7/K6</f>
        <v>0.11957216780165036</v>
      </c>
      <c r="L8" s="43"/>
      <c r="N8" s="43"/>
    </row>
    <row r="10" spans="1:9" ht="25.5" customHeight="1">
      <c r="A10" s="12" t="s">
        <v>182</v>
      </c>
      <c r="B10" s="12" t="s">
        <v>23</v>
      </c>
      <c r="C10" s="12" t="s">
        <v>15</v>
      </c>
      <c r="D10" s="12" t="s">
        <v>21</v>
      </c>
      <c r="E10" s="12" t="s">
        <v>16</v>
      </c>
      <c r="F10" s="12" t="s">
        <v>22</v>
      </c>
      <c r="G10" s="11" t="s">
        <v>45</v>
      </c>
      <c r="H10" s="11" t="s">
        <v>46</v>
      </c>
      <c r="I10" s="12"/>
    </row>
    <row r="11" spans="1:9" ht="12.75">
      <c r="A11" t="s">
        <v>14</v>
      </c>
      <c r="B11">
        <v>12</v>
      </c>
      <c r="C11" s="41">
        <v>303937.1</v>
      </c>
      <c r="D11">
        <v>1000</v>
      </c>
      <c r="E11" t="s">
        <v>17</v>
      </c>
      <c r="F11" s="41">
        <f>B11*C11*D11*24/3967.3</f>
        <v>22063843.117485438</v>
      </c>
      <c r="G11">
        <v>20</v>
      </c>
      <c r="H11" s="41">
        <v>8369236</v>
      </c>
      <c r="I11" s="43"/>
    </row>
    <row r="12" spans="2:8" ht="12.75">
      <c r="B12">
        <v>16</v>
      </c>
      <c r="C12" s="41">
        <v>93232.9</v>
      </c>
      <c r="D12">
        <v>1000</v>
      </c>
      <c r="E12" t="s">
        <v>17</v>
      </c>
      <c r="F12" s="41">
        <f>B12*C12*D12*24/3967.3</f>
        <v>9024130.668212637</v>
      </c>
      <c r="G12">
        <v>11</v>
      </c>
      <c r="H12" s="41">
        <v>730009</v>
      </c>
    </row>
    <row r="13" spans="2:8" ht="12.75">
      <c r="B13">
        <v>24</v>
      </c>
      <c r="C13" s="41">
        <v>78311.7</v>
      </c>
      <c r="D13">
        <v>1000</v>
      </c>
      <c r="E13" t="s">
        <v>17</v>
      </c>
      <c r="F13" s="41">
        <f>B13*C13*D13*24/3967.3</f>
        <v>11369833.186297983</v>
      </c>
      <c r="G13">
        <v>6</v>
      </c>
      <c r="H13" s="41">
        <v>497666</v>
      </c>
    </row>
    <row r="14" spans="1:9" ht="12.75">
      <c r="A14" t="s">
        <v>18</v>
      </c>
      <c r="B14">
        <v>8</v>
      </c>
      <c r="C14" s="41"/>
      <c r="F14" s="44" t="s">
        <v>184</v>
      </c>
      <c r="H14" s="41"/>
      <c r="I14" s="43"/>
    </row>
    <row r="15" spans="2:9" ht="12.75">
      <c r="B15">
        <v>12</v>
      </c>
      <c r="C15" s="41">
        <v>108528.9</v>
      </c>
      <c r="D15">
        <v>1000</v>
      </c>
      <c r="E15" t="s">
        <v>17</v>
      </c>
      <c r="F15" s="41">
        <f>B15*C15*D15*24/3967.3</f>
        <v>7878487.434779319</v>
      </c>
      <c r="G15">
        <v>21</v>
      </c>
      <c r="H15" s="41">
        <v>778401</v>
      </c>
      <c r="I15" s="43"/>
    </row>
    <row r="16" spans="2:8" ht="12.75">
      <c r="B16">
        <v>32</v>
      </c>
      <c r="C16" s="41"/>
      <c r="F16" s="44" t="s">
        <v>184</v>
      </c>
      <c r="H16" s="41"/>
    </row>
    <row r="17" spans="2:8" ht="12.75">
      <c r="B17">
        <v>24</v>
      </c>
      <c r="C17" s="41"/>
      <c r="F17" s="44" t="s">
        <v>184</v>
      </c>
      <c r="H17" s="41"/>
    </row>
    <row r="18" spans="2:9" ht="12.75">
      <c r="B18">
        <v>8</v>
      </c>
      <c r="C18" s="41">
        <v>25733.9</v>
      </c>
      <c r="D18">
        <v>1000</v>
      </c>
      <c r="E18" t="s">
        <v>17</v>
      </c>
      <c r="F18" s="41">
        <f>B18*C18*D18*24/3967.3</f>
        <v>1245408.4137826732</v>
      </c>
      <c r="G18">
        <v>8</v>
      </c>
      <c r="H18" s="41">
        <v>124863</v>
      </c>
      <c r="I18" s="43"/>
    </row>
    <row r="19" spans="2:9" ht="12.75">
      <c r="B19">
        <v>12</v>
      </c>
      <c r="C19" s="41">
        <v>549489.4</v>
      </c>
      <c r="D19">
        <v>1000</v>
      </c>
      <c r="E19" t="s">
        <v>17</v>
      </c>
      <c r="F19" s="41">
        <f>B19*C19*D19*24/3967.3</f>
        <v>39889332.0898344</v>
      </c>
      <c r="G19">
        <v>41</v>
      </c>
      <c r="H19" s="41">
        <v>4263786</v>
      </c>
      <c r="I19" s="43"/>
    </row>
    <row r="20" spans="2:9" ht="12.75">
      <c r="B20">
        <v>32</v>
      </c>
      <c r="C20" s="41">
        <v>36106.8</v>
      </c>
      <c r="D20">
        <v>1000</v>
      </c>
      <c r="E20" t="s">
        <v>17</v>
      </c>
      <c r="F20" s="41">
        <f>B20*C20*D20*24/3967.3</f>
        <v>6989645.955687747</v>
      </c>
      <c r="G20">
        <v>8</v>
      </c>
      <c r="H20" s="41">
        <v>260350</v>
      </c>
      <c r="I20" s="43"/>
    </row>
    <row r="21" spans="2:9" ht="12.75">
      <c r="B21">
        <v>24</v>
      </c>
      <c r="C21" s="41">
        <v>98081.9</v>
      </c>
      <c r="D21">
        <v>1000</v>
      </c>
      <c r="E21" t="s">
        <v>17</v>
      </c>
      <c r="F21" s="41">
        <f>B21*C21*D21*24/3967.3</f>
        <v>14240207.294633625</v>
      </c>
      <c r="G21">
        <v>19</v>
      </c>
      <c r="H21" s="41">
        <v>495914</v>
      </c>
      <c r="I21" s="43"/>
    </row>
    <row r="22" spans="2:9" ht="12.75">
      <c r="B22">
        <v>12</v>
      </c>
      <c r="C22" s="41">
        <v>5713.4</v>
      </c>
      <c r="D22">
        <v>1000</v>
      </c>
      <c r="E22" t="s">
        <v>17</v>
      </c>
      <c r="F22" s="41">
        <f>B22*C22*D22*24/3967.3</f>
        <v>414755.4256043151</v>
      </c>
      <c r="G22">
        <v>19</v>
      </c>
      <c r="H22" s="41">
        <v>84650</v>
      </c>
      <c r="I22" s="43"/>
    </row>
    <row r="23" spans="1:9" ht="12.75">
      <c r="A23" t="s">
        <v>19</v>
      </c>
      <c r="B23">
        <v>1</v>
      </c>
      <c r="C23" s="41">
        <v>18832.8</v>
      </c>
      <c r="D23">
        <v>1000</v>
      </c>
      <c r="E23" t="s">
        <v>20</v>
      </c>
      <c r="F23" s="41">
        <f>C23*D23</f>
        <v>18832800</v>
      </c>
      <c r="G23">
        <v>59</v>
      </c>
      <c r="H23" s="41">
        <v>1003027</v>
      </c>
      <c r="I23" s="43"/>
    </row>
    <row r="24" spans="2:9" ht="12.75">
      <c r="B24">
        <v>1</v>
      </c>
      <c r="C24" s="41">
        <v>966.2</v>
      </c>
      <c r="D24">
        <v>1000</v>
      </c>
      <c r="E24" t="s">
        <v>20</v>
      </c>
      <c r="F24" s="41">
        <f>C24*D24</f>
        <v>966200</v>
      </c>
      <c r="G24">
        <v>25</v>
      </c>
      <c r="H24" s="41">
        <v>55618</v>
      </c>
      <c r="I24" s="43"/>
    </row>
    <row r="25" spans="1:9" ht="12.75">
      <c r="A25" t="s">
        <v>183</v>
      </c>
      <c r="C25" s="41"/>
      <c r="F25" s="41">
        <f>B90-SUM(F11:F24)</f>
        <v>67375356.41368188</v>
      </c>
      <c r="H25" s="41"/>
      <c r="I25" s="43"/>
    </row>
    <row r="26" spans="1:6" ht="12.75">
      <c r="A26" t="s">
        <v>24</v>
      </c>
      <c r="C26" s="41">
        <v>275.4</v>
      </c>
      <c r="D26">
        <v>1000</v>
      </c>
      <c r="E26" t="s">
        <v>25</v>
      </c>
      <c r="F26" t="s">
        <v>114</v>
      </c>
    </row>
    <row r="27" spans="1:6" ht="12.75">
      <c r="A27" t="s">
        <v>26</v>
      </c>
      <c r="C27" s="41">
        <v>2858.2</v>
      </c>
      <c r="D27">
        <v>1000</v>
      </c>
      <c r="E27" t="s">
        <v>25</v>
      </c>
      <c r="F27" t="s">
        <v>102</v>
      </c>
    </row>
    <row r="29" spans="1:4" ht="12.75">
      <c r="A29" s="12" t="s">
        <v>31</v>
      </c>
      <c r="B29" s="12" t="s">
        <v>28</v>
      </c>
      <c r="C29" s="12" t="s">
        <v>29</v>
      </c>
      <c r="D29" s="12" t="s">
        <v>30</v>
      </c>
    </row>
    <row r="30" spans="1:4" ht="12.75">
      <c r="A30" t="s">
        <v>27</v>
      </c>
      <c r="B30">
        <v>3121201</v>
      </c>
      <c r="C30">
        <v>9694616</v>
      </c>
      <c r="D30">
        <f>K7-SUM(D31:D33)</f>
        <v>1243767</v>
      </c>
    </row>
    <row r="31" spans="1:4" ht="12.75">
      <c r="A31" t="s">
        <v>32</v>
      </c>
      <c r="B31">
        <f>+B30+3</f>
        <v>3121204</v>
      </c>
      <c r="C31">
        <v>6209755</v>
      </c>
      <c r="D31">
        <v>766455</v>
      </c>
    </row>
    <row r="32" spans="1:4" ht="12.75">
      <c r="A32" t="s">
        <v>33</v>
      </c>
      <c r="B32">
        <f>+B31+3</f>
        <v>3121207</v>
      </c>
      <c r="C32">
        <v>1113941</v>
      </c>
      <c r="D32">
        <v>133133</v>
      </c>
    </row>
    <row r="33" spans="1:4" ht="12.75">
      <c r="A33" t="s">
        <v>34</v>
      </c>
      <c r="B33" s="23" t="s">
        <v>35</v>
      </c>
      <c r="C33">
        <v>605156</v>
      </c>
      <c r="D33">
        <v>33276</v>
      </c>
    </row>
    <row r="35" spans="1:5" ht="12.75">
      <c r="A35" s="12" t="s">
        <v>188</v>
      </c>
      <c r="B35" s="12"/>
      <c r="C35" s="12" t="s">
        <v>36</v>
      </c>
      <c r="D35" s="12" t="s">
        <v>21</v>
      </c>
      <c r="E35" s="12" t="s">
        <v>16</v>
      </c>
    </row>
    <row r="36" spans="1:6" ht="12.75">
      <c r="A36" t="s">
        <v>37</v>
      </c>
      <c r="C36">
        <f>15.5/69294*1362</f>
        <v>0.30465841198372157</v>
      </c>
      <c r="D36" s="2">
        <v>1000000</v>
      </c>
      <c r="E36" t="s">
        <v>38</v>
      </c>
      <c r="F36" s="18" t="s">
        <v>100</v>
      </c>
    </row>
    <row r="37" spans="1:6" ht="12.75">
      <c r="A37" t="s">
        <v>39</v>
      </c>
      <c r="C37" t="s">
        <v>40</v>
      </c>
      <c r="F37" t="s">
        <v>101</v>
      </c>
    </row>
    <row r="38" spans="1:5" ht="12.75">
      <c r="A38" t="s">
        <v>41</v>
      </c>
      <c r="C38">
        <v>5492.4</v>
      </c>
      <c r="D38">
        <v>100000</v>
      </c>
      <c r="E38" t="s">
        <v>42</v>
      </c>
    </row>
    <row r="39" spans="1:3" ht="12.75">
      <c r="A39" t="s">
        <v>43</v>
      </c>
      <c r="C39" t="s">
        <v>40</v>
      </c>
    </row>
    <row r="40" spans="1:5" ht="12.75">
      <c r="A40" t="s">
        <v>44</v>
      </c>
      <c r="C40">
        <v>56282.2</v>
      </c>
      <c r="D40">
        <v>100000</v>
      </c>
      <c r="E40" t="s">
        <v>42</v>
      </c>
    </row>
    <row r="42" spans="1:7" ht="12.75">
      <c r="A42" s="12" t="s">
        <v>189</v>
      </c>
      <c r="B42" s="12" t="s">
        <v>95</v>
      </c>
      <c r="C42" s="12" t="s">
        <v>96</v>
      </c>
      <c r="D42" s="12" t="s">
        <v>97</v>
      </c>
      <c r="E42" s="12" t="s">
        <v>96</v>
      </c>
      <c r="F42" s="12" t="s">
        <v>98</v>
      </c>
      <c r="G42" s="12" t="s">
        <v>96</v>
      </c>
    </row>
    <row r="43" spans="1:7" ht="12.75">
      <c r="A43" t="s">
        <v>112</v>
      </c>
      <c r="B43">
        <f>(0.064*3+0.015)*(1-0.85)</f>
        <v>0.031050000000000008</v>
      </c>
      <c r="C43" t="s">
        <v>340</v>
      </c>
      <c r="D43" s="41">
        <f>(C38*D38+C40*D40+C36*D36*1.2445*34)/2000*B87</f>
        <v>3177640.6199038895</v>
      </c>
      <c r="E43" t="s">
        <v>25</v>
      </c>
      <c r="F43" s="41">
        <f aca="true" t="shared" si="0" ref="F43:F50">D43*B43/2000</f>
        <v>49.332870624007896</v>
      </c>
      <c r="G43" t="s">
        <v>339</v>
      </c>
    </row>
    <row r="44" spans="1:7" ht="12.75">
      <c r="A44" t="s">
        <v>191</v>
      </c>
      <c r="B44">
        <f>1.4+(0.064)*(1-0.85)</f>
        <v>1.4096</v>
      </c>
      <c r="C44" t="s">
        <v>340</v>
      </c>
      <c r="D44" s="41">
        <f>D43*E66</f>
        <v>3071483.3608870558</v>
      </c>
      <c r="E44" t="s">
        <v>25</v>
      </c>
      <c r="F44" s="41">
        <f t="shared" si="0"/>
        <v>2164.781472753197</v>
      </c>
      <c r="G44" t="s">
        <v>339</v>
      </c>
    </row>
    <row r="45" spans="1:7" ht="12.75">
      <c r="A45" t="s">
        <v>111</v>
      </c>
      <c r="B45">
        <v>0.73</v>
      </c>
      <c r="C45" t="s">
        <v>103</v>
      </c>
      <c r="D45" s="41">
        <f>C26*D26*B87</f>
        <v>282737.5136278601</v>
      </c>
      <c r="E45" t="s">
        <v>25</v>
      </c>
      <c r="F45" s="41">
        <f t="shared" si="0"/>
        <v>103.19919247416894</v>
      </c>
      <c r="G45" t="s">
        <v>105</v>
      </c>
    </row>
    <row r="46" spans="1:7" ht="12.75">
      <c r="A46" t="s">
        <v>194</v>
      </c>
      <c r="B46">
        <f>1.054/1000</f>
        <v>0.001054</v>
      </c>
      <c r="C46" t="s">
        <v>107</v>
      </c>
      <c r="D46" s="20">
        <f>B90*B87</f>
        <v>205626349.32652178</v>
      </c>
      <c r="E46" t="s">
        <v>20</v>
      </c>
      <c r="F46" s="20">
        <f t="shared" si="0"/>
        <v>108.36508609507699</v>
      </c>
      <c r="G46" t="s">
        <v>105</v>
      </c>
    </row>
    <row r="47" spans="1:7" ht="12.75">
      <c r="A47" t="s">
        <v>106</v>
      </c>
      <c r="B47">
        <f>2.605/1000</f>
        <v>0.002605</v>
      </c>
      <c r="C47" t="s">
        <v>107</v>
      </c>
      <c r="D47" s="41">
        <f>B90*B87</f>
        <v>205626349.32652178</v>
      </c>
      <c r="E47" t="s">
        <v>20</v>
      </c>
      <c r="F47" s="41">
        <f t="shared" si="0"/>
        <v>267.8283199977946</v>
      </c>
      <c r="G47" t="s">
        <v>105</v>
      </c>
    </row>
    <row r="48" spans="1:7" ht="12.75">
      <c r="A48" t="s">
        <v>108</v>
      </c>
      <c r="B48">
        <f>17/1000</f>
        <v>0.017</v>
      </c>
      <c r="C48" t="s">
        <v>107</v>
      </c>
      <c r="D48" s="41">
        <f>B90*C92*B87</f>
        <v>104869438.1565261</v>
      </c>
      <c r="E48" t="s">
        <v>20</v>
      </c>
      <c r="F48" s="41">
        <f t="shared" si="0"/>
        <v>891.3902243304719</v>
      </c>
      <c r="G48" t="s">
        <v>105</v>
      </c>
    </row>
    <row r="49" spans="1:7" ht="12.75">
      <c r="A49" t="s">
        <v>109</v>
      </c>
      <c r="B49">
        <f>14/1000</f>
        <v>0.014</v>
      </c>
      <c r="C49" t="s">
        <v>107</v>
      </c>
      <c r="D49" s="41">
        <f>B90*D92*B87</f>
        <v>80194276.23734349</v>
      </c>
      <c r="E49" t="s">
        <v>20</v>
      </c>
      <c r="F49" s="41">
        <f t="shared" si="0"/>
        <v>561.3599336614044</v>
      </c>
      <c r="G49" t="s">
        <v>105</v>
      </c>
    </row>
    <row r="50" spans="1:7" ht="12.75">
      <c r="A50" t="s">
        <v>110</v>
      </c>
      <c r="B50">
        <f>0.69/1000</f>
        <v>0.00069</v>
      </c>
      <c r="C50" t="s">
        <v>107</v>
      </c>
      <c r="D50" s="41">
        <f>B90*E92*B87</f>
        <v>20562634.93265218</v>
      </c>
      <c r="E50" t="s">
        <v>20</v>
      </c>
      <c r="F50" s="41">
        <f t="shared" si="0"/>
        <v>7.094109051765002</v>
      </c>
      <c r="G50" t="s">
        <v>105</v>
      </c>
    </row>
    <row r="51" spans="4:6" ht="12.75">
      <c r="D51" s="41"/>
      <c r="F51" s="41"/>
    </row>
    <row r="52" spans="1:7" ht="12.75">
      <c r="A52" s="12" t="s">
        <v>190</v>
      </c>
      <c r="B52" s="12"/>
      <c r="C52" s="12"/>
      <c r="D52" s="24"/>
      <c r="E52" s="12"/>
      <c r="F52" s="12" t="s">
        <v>98</v>
      </c>
      <c r="G52" s="12" t="s">
        <v>96</v>
      </c>
    </row>
    <row r="53" spans="1:7" ht="12.75">
      <c r="A53" t="s">
        <v>112</v>
      </c>
      <c r="B53">
        <f>(0.064*3+0.015)*(1-0.85)</f>
        <v>0.031050000000000008</v>
      </c>
      <c r="C53" t="s">
        <v>340</v>
      </c>
      <c r="D53" s="41">
        <f aca="true" t="shared" si="1" ref="D53:D60">F53/F43*D43</f>
        <v>379957.37741648813</v>
      </c>
      <c r="E53" t="s">
        <v>25</v>
      </c>
      <c r="F53" s="45">
        <f>F43*$K$7/$K$6</f>
        <v>5.89883828439098</v>
      </c>
      <c r="G53" t="s">
        <v>339</v>
      </c>
    </row>
    <row r="54" spans="1:7" ht="12.75">
      <c r="A54" t="s">
        <v>191</v>
      </c>
      <c r="B54">
        <f>1.4+(0.064)*(1-0.85)</f>
        <v>1.4096</v>
      </c>
      <c r="C54" t="s">
        <v>340</v>
      </c>
      <c r="D54" s="41">
        <f t="shared" si="1"/>
        <v>367263.92382796406</v>
      </c>
      <c r="E54" t="s">
        <v>25</v>
      </c>
      <c r="F54" s="45">
        <f>F44*$K$7/$K$6</f>
        <v>258.84761351394906</v>
      </c>
      <c r="G54" t="s">
        <v>339</v>
      </c>
    </row>
    <row r="55" spans="1:7" ht="12.75">
      <c r="A55" t="s">
        <v>111</v>
      </c>
      <c r="B55">
        <v>0.73</v>
      </c>
      <c r="C55" t="s">
        <v>103</v>
      </c>
      <c r="D55" s="41">
        <f t="shared" si="1"/>
        <v>33807.537423331894</v>
      </c>
      <c r="E55" t="s">
        <v>25</v>
      </c>
      <c r="F55" s="41">
        <f>F45*$K$7/$K$6</f>
        <v>12.33975115951614</v>
      </c>
      <c r="G55" t="s">
        <v>105</v>
      </c>
    </row>
    <row r="56" spans="1:7" ht="12.75">
      <c r="A56" t="s">
        <v>194</v>
      </c>
      <c r="B56">
        <f>1.054/1000</f>
        <v>0.001054</v>
      </c>
      <c r="C56" t="s">
        <v>107</v>
      </c>
      <c r="D56" s="41">
        <f t="shared" si="1"/>
        <v>24587188.346111637</v>
      </c>
      <c r="E56" t="s">
        <v>20</v>
      </c>
      <c r="F56" s="41">
        <f>F46*$K$7/$K$6</f>
        <v>12.957448258400834</v>
      </c>
      <c r="G56" t="s">
        <v>105</v>
      </c>
    </row>
    <row r="57" spans="1:7" ht="12.75">
      <c r="A57" t="s">
        <v>106</v>
      </c>
      <c r="B57">
        <f>2.605/1000</f>
        <v>0.002605</v>
      </c>
      <c r="C57" t="s">
        <v>107</v>
      </c>
      <c r="D57" s="41">
        <f t="shared" si="1"/>
        <v>24587188.34611164</v>
      </c>
      <c r="E57" t="s">
        <v>20</v>
      </c>
      <c r="F57" s="41">
        <f>F47*$K$7/$K$6</f>
        <v>32.02481282081041</v>
      </c>
      <c r="G57" t="s">
        <v>105</v>
      </c>
    </row>
    <row r="58" spans="1:7" ht="12.75">
      <c r="A58" t="s">
        <v>108</v>
      </c>
      <c r="B58">
        <f>17/1000</f>
        <v>0.017</v>
      </c>
      <c r="C58" t="s">
        <v>107</v>
      </c>
      <c r="D58" s="41">
        <f t="shared" si="1"/>
        <v>12943780.42648385</v>
      </c>
      <c r="E58" t="s">
        <v>20</v>
      </c>
      <c r="F58" s="41">
        <f>F48*D31/C31</f>
        <v>110.02213362511273</v>
      </c>
      <c r="G58" t="s">
        <v>105</v>
      </c>
    </row>
    <row r="59" spans="1:7" ht="12.75">
      <c r="A59" t="s">
        <v>109</v>
      </c>
      <c r="B59">
        <f>14/1000</f>
        <v>0.014</v>
      </c>
      <c r="C59" t="s">
        <v>107</v>
      </c>
      <c r="D59" s="41">
        <f t="shared" si="1"/>
        <v>10288493.569306096</v>
      </c>
      <c r="E59" t="s">
        <v>20</v>
      </c>
      <c r="F59" s="41">
        <f>F49*D30/C30</f>
        <v>72.01945498514267</v>
      </c>
      <c r="G59" t="s">
        <v>105</v>
      </c>
    </row>
    <row r="60" spans="1:7" ht="12.75">
      <c r="A60" t="s">
        <v>110</v>
      </c>
      <c r="B60">
        <f>0.69/1000</f>
        <v>0.00069</v>
      </c>
      <c r="C60" t="s">
        <v>107</v>
      </c>
      <c r="D60" s="41">
        <f t="shared" si="1"/>
        <v>2457549.6157236183</v>
      </c>
      <c r="E60" t="s">
        <v>20</v>
      </c>
      <c r="F60" s="45">
        <f>F50*D32/C32</f>
        <v>0.8478546174246482</v>
      </c>
      <c r="G60" t="s">
        <v>105</v>
      </c>
    </row>
    <row r="61" spans="1:7" ht="12.75">
      <c r="A61" t="s">
        <v>113</v>
      </c>
      <c r="F61" s="21">
        <f>SUM(F55:F60)</f>
        <v>240.21145546640744</v>
      </c>
      <c r="G61" t="s">
        <v>105</v>
      </c>
    </row>
    <row r="62" spans="1:7" ht="12.75">
      <c r="A62" t="s">
        <v>341</v>
      </c>
      <c r="F62" s="34">
        <f>F53+F54</f>
        <v>264.74645179834005</v>
      </c>
      <c r="G62" t="s">
        <v>339</v>
      </c>
    </row>
    <row r="63" ht="12.75">
      <c r="B63" s="14"/>
    </row>
    <row r="64" spans="1:4" ht="12.75">
      <c r="A64" s="12" t="s">
        <v>135</v>
      </c>
      <c r="B64" s="12" t="s">
        <v>119</v>
      </c>
      <c r="C64" s="12"/>
      <c r="D64" s="31" t="s">
        <v>117</v>
      </c>
    </row>
    <row r="65" spans="1:5" ht="12.75">
      <c r="A65" s="12"/>
      <c r="B65" s="12">
        <v>1999</v>
      </c>
      <c r="C65" s="12">
        <v>2000</v>
      </c>
      <c r="D65" s="12" t="s">
        <v>121</v>
      </c>
      <c r="E65" s="12" t="s">
        <v>142</v>
      </c>
    </row>
    <row r="66" spans="1:5" ht="12.75">
      <c r="A66" t="s">
        <v>122</v>
      </c>
      <c r="B66" s="46">
        <v>0.88</v>
      </c>
      <c r="C66" s="46">
        <v>0.868</v>
      </c>
      <c r="D66">
        <v>-1.2</v>
      </c>
      <c r="E66" s="47">
        <f>C66/SUM(C66,C68)</f>
        <v>0.9665924276169264</v>
      </c>
    </row>
    <row r="67" spans="1:5" ht="12.75">
      <c r="A67" t="s">
        <v>120</v>
      </c>
      <c r="B67" s="46">
        <v>0.091</v>
      </c>
      <c r="C67" s="46">
        <v>0.102</v>
      </c>
      <c r="D67">
        <v>1.1</v>
      </c>
      <c r="E67" s="46">
        <v>0</v>
      </c>
    </row>
    <row r="68" spans="1:5" ht="12.75">
      <c r="A68" t="s">
        <v>123</v>
      </c>
      <c r="B68" s="46">
        <v>0.029</v>
      </c>
      <c r="C68" s="46">
        <v>0.03</v>
      </c>
      <c r="D68">
        <v>0.1</v>
      </c>
      <c r="E68" s="47">
        <f>C68/SUM(C66,C68)</f>
        <v>0.03340757238307349</v>
      </c>
    </row>
    <row r="71" spans="1:13" ht="12.75">
      <c r="A71" s="12" t="s">
        <v>136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2" t="s">
        <v>126</v>
      </c>
      <c r="B72" s="31" t="s">
        <v>138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2" t="s">
        <v>127</v>
      </c>
      <c r="B73" s="12" t="s">
        <v>128</v>
      </c>
      <c r="C73" s="12" t="s">
        <v>129</v>
      </c>
      <c r="D73" s="12" t="s">
        <v>130</v>
      </c>
      <c r="E73" s="12" t="s">
        <v>131</v>
      </c>
      <c r="F73" s="12" t="s">
        <v>132</v>
      </c>
      <c r="G73" s="12" t="s">
        <v>133</v>
      </c>
      <c r="H73" s="12" t="s">
        <v>9</v>
      </c>
      <c r="I73" s="12" t="s">
        <v>10</v>
      </c>
      <c r="J73" s="12" t="s">
        <v>11</v>
      </c>
      <c r="K73" s="12" t="s">
        <v>137</v>
      </c>
      <c r="L73" s="12" t="s">
        <v>137</v>
      </c>
      <c r="M73" s="12" t="s">
        <v>137</v>
      </c>
    </row>
    <row r="74" spans="1:13" ht="12.75">
      <c r="A74" t="s">
        <v>134</v>
      </c>
      <c r="B74" s="41">
        <v>29140</v>
      </c>
      <c r="C74" s="41">
        <v>1115694</v>
      </c>
      <c r="D74" s="41">
        <v>14171</v>
      </c>
      <c r="E74" s="41">
        <v>27151</v>
      </c>
      <c r="F74" s="41">
        <v>492311</v>
      </c>
      <c r="G74" s="41">
        <v>5914753</v>
      </c>
      <c r="H74" s="41">
        <v>6323771</v>
      </c>
      <c r="I74" s="41">
        <v>12282033</v>
      </c>
      <c r="J74" s="41">
        <v>665962</v>
      </c>
      <c r="K74" s="41">
        <v>1</v>
      </c>
      <c r="L74" s="41">
        <v>2</v>
      </c>
      <c r="M74" s="41">
        <v>12</v>
      </c>
    </row>
    <row r="75" spans="1:13" ht="12.75">
      <c r="A75">
        <v>1998</v>
      </c>
      <c r="B75" s="41">
        <v>28766</v>
      </c>
      <c r="C75" s="41">
        <v>1081865</v>
      </c>
      <c r="D75" s="41">
        <v>14358</v>
      </c>
      <c r="E75" s="41">
        <v>28432</v>
      </c>
      <c r="F75" s="41">
        <v>502874</v>
      </c>
      <c r="G75" s="41">
        <v>6031483</v>
      </c>
      <c r="H75" s="41">
        <v>6391435</v>
      </c>
      <c r="I75" s="41">
        <v>12092994</v>
      </c>
      <c r="J75" s="41">
        <v>558070</v>
      </c>
      <c r="K75" s="41">
        <v>1</v>
      </c>
      <c r="L75" s="41">
        <v>2</v>
      </c>
      <c r="M75" s="41">
        <v>8</v>
      </c>
    </row>
    <row r="76" spans="1:13" ht="12.75">
      <c r="A76">
        <v>1997</v>
      </c>
      <c r="B76" s="41">
        <v>28096</v>
      </c>
      <c r="C76" s="41">
        <v>1027150</v>
      </c>
      <c r="D76" s="41">
        <v>13898</v>
      </c>
      <c r="E76" s="41">
        <v>27088</v>
      </c>
      <c r="F76" s="41">
        <v>460153</v>
      </c>
      <c r="G76" s="41">
        <v>5546106</v>
      </c>
      <c r="H76" s="41">
        <v>6259011</v>
      </c>
      <c r="I76" s="41">
        <v>11204637</v>
      </c>
      <c r="J76" s="41">
        <v>590028</v>
      </c>
      <c r="K76" s="41" t="s">
        <v>140</v>
      </c>
      <c r="L76" s="41" t="s">
        <v>140</v>
      </c>
      <c r="M76" s="41" t="s">
        <v>140</v>
      </c>
    </row>
    <row r="77" spans="1:10" ht="12.75">
      <c r="A77" t="s">
        <v>185</v>
      </c>
      <c r="B77" s="47">
        <f aca="true" t="shared" si="2" ref="B77:J77">B74/B76</f>
        <v>1.0371583143507972</v>
      </c>
      <c r="C77" s="47">
        <f t="shared" si="2"/>
        <v>1.0862035729932338</v>
      </c>
      <c r="D77" s="32">
        <f t="shared" si="2"/>
        <v>1.0196431141171391</v>
      </c>
      <c r="E77" s="32">
        <f t="shared" si="2"/>
        <v>1.0023257531010041</v>
      </c>
      <c r="F77" s="47">
        <f t="shared" si="2"/>
        <v>1.069885451143424</v>
      </c>
      <c r="G77" s="47">
        <f t="shared" si="2"/>
        <v>1.066469519334827</v>
      </c>
      <c r="H77" s="47">
        <f t="shared" si="2"/>
        <v>1.0103466825669423</v>
      </c>
      <c r="I77" s="47">
        <f t="shared" si="2"/>
        <v>1.0961562610194333</v>
      </c>
      <c r="J77" s="47">
        <f t="shared" si="2"/>
        <v>1.128695587328059</v>
      </c>
    </row>
    <row r="78" ht="12.75">
      <c r="D78" s="33" t="s">
        <v>141</v>
      </c>
    </row>
    <row r="80" spans="1:4" ht="12.75">
      <c r="A80" s="12" t="s">
        <v>139</v>
      </c>
      <c r="B80" s="14">
        <v>176860000</v>
      </c>
      <c r="C80" s="27" t="s">
        <v>118</v>
      </c>
      <c r="D80" s="28" t="s">
        <v>117</v>
      </c>
    </row>
    <row r="81" spans="2:3" ht="12.75">
      <c r="B81" s="14">
        <v>1490000</v>
      </c>
      <c r="C81" s="26" t="s">
        <v>124</v>
      </c>
    </row>
    <row r="82" spans="2:3" ht="12.75">
      <c r="B82" s="14">
        <v>4380000</v>
      </c>
      <c r="C82" t="s">
        <v>125</v>
      </c>
    </row>
    <row r="85" ht="12.75">
      <c r="B85" s="31" t="s">
        <v>143</v>
      </c>
    </row>
    <row r="86" ht="12.75">
      <c r="B86" t="s">
        <v>144</v>
      </c>
    </row>
    <row r="87" spans="2:3" ht="12.75">
      <c r="B87" s="36">
        <f>D77+0.007</f>
        <v>1.026643114117139</v>
      </c>
      <c r="C87" s="37" t="s">
        <v>181</v>
      </c>
    </row>
    <row r="88" spans="1:2" ht="12.75">
      <c r="A88" s="14"/>
      <c r="B88" s="31" t="s">
        <v>145</v>
      </c>
    </row>
    <row r="89" ht="12.75">
      <c r="B89" t="s">
        <v>148</v>
      </c>
    </row>
    <row r="90" spans="1:5" ht="12.75">
      <c r="A90" s="30" t="s">
        <v>193</v>
      </c>
      <c r="B90">
        <v>200290000</v>
      </c>
      <c r="C90" t="s">
        <v>149</v>
      </c>
      <c r="E90" s="47">
        <f>23338510/B90</f>
        <v>0.11652359079334965</v>
      </c>
    </row>
    <row r="91" ht="12.75">
      <c r="B91" t="s">
        <v>146</v>
      </c>
    </row>
    <row r="92" spans="3:5" ht="12.75">
      <c r="C92" s="29">
        <v>0.51</v>
      </c>
      <c r="D92" s="29">
        <v>0.39</v>
      </c>
      <c r="E92" s="29">
        <v>0.1</v>
      </c>
    </row>
    <row r="93" ht="12.75">
      <c r="B93" s="31" t="s">
        <v>147</v>
      </c>
    </row>
    <row r="94" spans="1:10" ht="12.75">
      <c r="A94" s="12" t="s">
        <v>186</v>
      </c>
      <c r="B94" s="12">
        <v>1989</v>
      </c>
      <c r="C94" s="12">
        <f aca="true" t="shared" si="3" ref="C94:J94">B94+1</f>
        <v>1990</v>
      </c>
      <c r="D94" s="12">
        <f t="shared" si="3"/>
        <v>1991</v>
      </c>
      <c r="E94" s="12">
        <f t="shared" si="3"/>
        <v>1992</v>
      </c>
      <c r="F94" s="12">
        <f t="shared" si="3"/>
        <v>1993</v>
      </c>
      <c r="G94" s="12">
        <f t="shared" si="3"/>
        <v>1994</v>
      </c>
      <c r="H94" s="12">
        <f t="shared" si="3"/>
        <v>1995</v>
      </c>
      <c r="I94" s="12">
        <f t="shared" si="3"/>
        <v>1996</v>
      </c>
      <c r="J94" s="12">
        <f t="shared" si="3"/>
        <v>1997</v>
      </c>
    </row>
    <row r="95" spans="1:8" ht="12.75">
      <c r="A95" t="s">
        <v>154</v>
      </c>
      <c r="B95" s="14">
        <v>23670909</v>
      </c>
      <c r="C95" s="14">
        <v>22950590</v>
      </c>
      <c r="D95" s="14">
        <v>22518917</v>
      </c>
      <c r="E95" s="14">
        <v>22782968</v>
      </c>
      <c r="F95" s="14">
        <v>22575606</v>
      </c>
      <c r="G95" s="14">
        <v>23054016</v>
      </c>
      <c r="H95" s="14">
        <v>23338510</v>
      </c>
    </row>
    <row r="96" spans="1:10" ht="12.75">
      <c r="A96" s="30" t="s">
        <v>155</v>
      </c>
      <c r="B96" s="14">
        <v>197480115</v>
      </c>
      <c r="C96" s="14">
        <v>201690728</v>
      </c>
      <c r="D96" s="14">
        <v>203706789</v>
      </c>
      <c r="E96" s="14">
        <v>201394757</v>
      </c>
      <c r="F96" s="14">
        <v>202276650</v>
      </c>
      <c r="G96" s="14">
        <v>202805201</v>
      </c>
      <c r="H96" s="14">
        <v>200301591</v>
      </c>
      <c r="I96" s="14">
        <v>200050473</v>
      </c>
      <c r="J96" s="14">
        <v>200290000</v>
      </c>
    </row>
    <row r="97" spans="2:8" ht="12.75">
      <c r="B97" s="47">
        <f aca="true" t="shared" si="4" ref="B97:H97">B95/B96</f>
        <v>0.11986477220757139</v>
      </c>
      <c r="C97" s="47">
        <f t="shared" si="4"/>
        <v>0.1137910018352455</v>
      </c>
      <c r="D97" s="47">
        <f t="shared" si="4"/>
        <v>0.11054573640154919</v>
      </c>
      <c r="E97" s="47">
        <f t="shared" si="4"/>
        <v>0.11312592412721052</v>
      </c>
      <c r="F97" s="47">
        <f t="shared" si="4"/>
        <v>0.11160757309358248</v>
      </c>
      <c r="G97" s="47">
        <f t="shared" si="4"/>
        <v>0.11367566456049616</v>
      </c>
      <c r="H97" s="47">
        <f t="shared" si="4"/>
        <v>0.11651684783672038</v>
      </c>
    </row>
    <row r="99" spans="1:15" ht="12.75">
      <c r="A99" s="38" t="s">
        <v>173</v>
      </c>
      <c r="B99" s="12"/>
      <c r="C99" s="11" t="s">
        <v>156</v>
      </c>
      <c r="D99" s="12" t="s">
        <v>157</v>
      </c>
      <c r="E99" s="12" t="s">
        <v>158</v>
      </c>
      <c r="F99" s="12" t="s">
        <v>159</v>
      </c>
      <c r="G99" s="12" t="s">
        <v>160</v>
      </c>
      <c r="H99" s="12" t="s">
        <v>161</v>
      </c>
      <c r="I99" s="12" t="s">
        <v>162</v>
      </c>
      <c r="J99" s="12" t="s">
        <v>163</v>
      </c>
      <c r="K99" s="12" t="s">
        <v>164</v>
      </c>
      <c r="L99" s="12" t="s">
        <v>165</v>
      </c>
      <c r="M99" s="12" t="s">
        <v>166</v>
      </c>
      <c r="N99" s="12" t="s">
        <v>167</v>
      </c>
      <c r="O99" s="12" t="s">
        <v>168</v>
      </c>
    </row>
    <row r="100" spans="1:15" ht="12.75">
      <c r="A100" t="s">
        <v>169</v>
      </c>
      <c r="B100" s="22">
        <v>2000</v>
      </c>
      <c r="C100" s="41">
        <v>13900000</v>
      </c>
      <c r="D100" s="41">
        <v>13700000</v>
      </c>
      <c r="E100" s="41">
        <v>15650000</v>
      </c>
      <c r="F100" s="41">
        <v>15300000</v>
      </c>
      <c r="G100" s="41">
        <v>16850000</v>
      </c>
      <c r="H100" s="41">
        <v>16800000</v>
      </c>
      <c r="I100" s="41">
        <v>16300000</v>
      </c>
      <c r="J100" s="41">
        <v>16450000</v>
      </c>
      <c r="K100" s="41">
        <v>15000000</v>
      </c>
      <c r="L100" s="41">
        <v>14100000</v>
      </c>
      <c r="M100" s="41">
        <v>13500000</v>
      </c>
      <c r="N100" s="41">
        <v>11950000</v>
      </c>
      <c r="O100" s="41">
        <v>179500000</v>
      </c>
    </row>
    <row r="101" spans="1:15" ht="12.75">
      <c r="A101" s="31" t="s">
        <v>170</v>
      </c>
      <c r="B101" s="22">
        <v>1999</v>
      </c>
      <c r="C101" s="41">
        <v>13800000</v>
      </c>
      <c r="D101" s="41">
        <v>13500000</v>
      </c>
      <c r="E101" s="41">
        <v>15850000</v>
      </c>
      <c r="F101" s="41">
        <v>15300000</v>
      </c>
      <c r="G101" s="41">
        <v>16350000.000000002</v>
      </c>
      <c r="H101" s="41">
        <v>17050000</v>
      </c>
      <c r="I101" s="41">
        <v>16350000.000000002</v>
      </c>
      <c r="J101" s="41">
        <v>15750000</v>
      </c>
      <c r="K101" s="41">
        <v>15100000</v>
      </c>
      <c r="L101" s="41">
        <v>13900000</v>
      </c>
      <c r="M101" s="41">
        <v>13700000</v>
      </c>
      <c r="N101" s="41">
        <v>13150000</v>
      </c>
      <c r="O101" s="41">
        <v>179800000</v>
      </c>
    </row>
    <row r="102" spans="1:15" ht="12.75">
      <c r="A102" s="30" t="s">
        <v>171</v>
      </c>
      <c r="B102">
        <v>2000</v>
      </c>
      <c r="C102" s="41">
        <v>127400</v>
      </c>
      <c r="D102" s="41">
        <v>159400</v>
      </c>
      <c r="E102" s="41">
        <v>172100</v>
      </c>
      <c r="F102" s="41">
        <v>159000</v>
      </c>
      <c r="G102" s="41">
        <v>199200</v>
      </c>
      <c r="H102" s="41">
        <v>263000</v>
      </c>
      <c r="I102" s="41">
        <v>195200</v>
      </c>
      <c r="J102" s="41">
        <v>218200</v>
      </c>
      <c r="K102" s="41">
        <v>180100</v>
      </c>
      <c r="L102" s="41">
        <v>213000</v>
      </c>
      <c r="M102" s="41">
        <v>212600</v>
      </c>
      <c r="N102" s="41">
        <v>131700</v>
      </c>
      <c r="O102" s="41">
        <v>2231000</v>
      </c>
    </row>
    <row r="103" spans="1:15" ht="12.75">
      <c r="A103" s="31" t="s">
        <v>172</v>
      </c>
      <c r="B103">
        <v>1999</v>
      </c>
      <c r="C103" s="41">
        <v>182600</v>
      </c>
      <c r="D103" s="41">
        <v>181900</v>
      </c>
      <c r="E103" s="41">
        <v>222200</v>
      </c>
      <c r="F103" s="41">
        <v>234500</v>
      </c>
      <c r="G103" s="41">
        <v>243000</v>
      </c>
      <c r="H103" s="41">
        <v>291300</v>
      </c>
      <c r="I103" s="41">
        <v>237600</v>
      </c>
      <c r="J103" s="41">
        <v>225300</v>
      </c>
      <c r="K103" s="41">
        <v>243900</v>
      </c>
      <c r="L103" s="41">
        <v>258200</v>
      </c>
      <c r="M103" s="41">
        <v>222600</v>
      </c>
      <c r="N103" s="41">
        <v>142100</v>
      </c>
      <c r="O103" s="41">
        <v>2685000</v>
      </c>
    </row>
    <row r="104" spans="1:15" ht="12.75">
      <c r="A104" t="s">
        <v>174</v>
      </c>
      <c r="B104">
        <v>2000</v>
      </c>
      <c r="C104" s="21">
        <f aca="true" t="shared" si="5" ref="C104:O104">C100+C102</f>
        <v>14027400</v>
      </c>
      <c r="D104" s="21">
        <f t="shared" si="5"/>
        <v>13859400</v>
      </c>
      <c r="E104" s="21">
        <f t="shared" si="5"/>
        <v>15822100</v>
      </c>
      <c r="F104" s="21">
        <f t="shared" si="5"/>
        <v>15459000</v>
      </c>
      <c r="G104" s="21">
        <f t="shared" si="5"/>
        <v>17049200</v>
      </c>
      <c r="H104" s="21">
        <f t="shared" si="5"/>
        <v>17063000</v>
      </c>
      <c r="I104" s="21">
        <f t="shared" si="5"/>
        <v>16495200</v>
      </c>
      <c r="J104" s="21">
        <f t="shared" si="5"/>
        <v>16668200</v>
      </c>
      <c r="K104" s="21">
        <f t="shared" si="5"/>
        <v>15180100</v>
      </c>
      <c r="L104" s="21">
        <f t="shared" si="5"/>
        <v>14313000</v>
      </c>
      <c r="M104" s="21">
        <f t="shared" si="5"/>
        <v>13712600</v>
      </c>
      <c r="N104" s="21">
        <f t="shared" si="5"/>
        <v>12081700</v>
      </c>
      <c r="O104" s="21">
        <f t="shared" si="5"/>
        <v>181731000</v>
      </c>
    </row>
    <row r="105" spans="2:15" ht="12.75">
      <c r="B105">
        <v>1999</v>
      </c>
      <c r="C105" s="21">
        <f aca="true" t="shared" si="6" ref="C105:O105">C101+C103</f>
        <v>13982600</v>
      </c>
      <c r="D105" s="21">
        <f t="shared" si="6"/>
        <v>13681900</v>
      </c>
      <c r="E105" s="21">
        <f t="shared" si="6"/>
        <v>16072200</v>
      </c>
      <c r="F105" s="21">
        <f t="shared" si="6"/>
        <v>15534500</v>
      </c>
      <c r="G105" s="21">
        <f t="shared" si="6"/>
        <v>16593000.000000002</v>
      </c>
      <c r="H105" s="21">
        <f t="shared" si="6"/>
        <v>17341300</v>
      </c>
      <c r="I105" s="21">
        <f t="shared" si="6"/>
        <v>16587600.000000002</v>
      </c>
      <c r="J105" s="21">
        <f t="shared" si="6"/>
        <v>15975300</v>
      </c>
      <c r="K105" s="21">
        <f t="shared" si="6"/>
        <v>15343900</v>
      </c>
      <c r="L105" s="21">
        <f t="shared" si="6"/>
        <v>14158200</v>
      </c>
      <c r="M105" s="21">
        <f t="shared" si="6"/>
        <v>13922600</v>
      </c>
      <c r="N105" s="21">
        <f t="shared" si="6"/>
        <v>13292100</v>
      </c>
      <c r="O105" s="21">
        <f t="shared" si="6"/>
        <v>182485000</v>
      </c>
    </row>
    <row r="106" spans="1:15" ht="12.75">
      <c r="A106" t="s">
        <v>175</v>
      </c>
      <c r="B106">
        <v>2000</v>
      </c>
      <c r="C106" s="47">
        <f aca="true" t="shared" si="7" ref="C106:O106">C104/$O104</f>
        <v>0.07718771150766793</v>
      </c>
      <c r="D106" s="47">
        <f t="shared" si="7"/>
        <v>0.0762632682371197</v>
      </c>
      <c r="E106" s="47">
        <f t="shared" si="7"/>
        <v>0.08706329685083998</v>
      </c>
      <c r="F106" s="47">
        <f t="shared" si="7"/>
        <v>0.08506528880598246</v>
      </c>
      <c r="G106" s="47">
        <f t="shared" si="7"/>
        <v>0.09381558457280266</v>
      </c>
      <c r="H106" s="47">
        <f t="shared" si="7"/>
        <v>0.09389152098431197</v>
      </c>
      <c r="I106" s="47">
        <f t="shared" si="7"/>
        <v>0.09076712283539957</v>
      </c>
      <c r="J106" s="47">
        <f t="shared" si="7"/>
        <v>0.09171907929852365</v>
      </c>
      <c r="K106" s="47">
        <f t="shared" si="7"/>
        <v>0.08353060292410211</v>
      </c>
      <c r="L106" s="47">
        <f t="shared" si="7"/>
        <v>0.07875926506759992</v>
      </c>
      <c r="M106" s="47">
        <f t="shared" si="7"/>
        <v>0.07545548090309304</v>
      </c>
      <c r="N106" s="47">
        <f t="shared" si="7"/>
        <v>0.0664812277487055</v>
      </c>
      <c r="O106" s="47">
        <f t="shared" si="7"/>
        <v>1</v>
      </c>
    </row>
    <row r="107" spans="1:15" ht="12.75">
      <c r="A107" s="30"/>
      <c r="B107">
        <v>1999</v>
      </c>
      <c r="C107" s="47">
        <f aca="true" t="shared" si="8" ref="C107:O107">C105/$O105</f>
        <v>0.07662328410554292</v>
      </c>
      <c r="D107" s="47">
        <f t="shared" si="8"/>
        <v>0.07497547743650163</v>
      </c>
      <c r="E107" s="47">
        <f t="shared" si="8"/>
        <v>0.08807408828122859</v>
      </c>
      <c r="F107" s="47">
        <f t="shared" si="8"/>
        <v>0.08512754472970381</v>
      </c>
      <c r="G107" s="47">
        <f t="shared" si="8"/>
        <v>0.09092802148121765</v>
      </c>
      <c r="H107" s="47">
        <f t="shared" si="8"/>
        <v>0.09502863249034167</v>
      </c>
      <c r="I107" s="47">
        <f t="shared" si="8"/>
        <v>0.09089843000794587</v>
      </c>
      <c r="J107" s="47">
        <f t="shared" si="8"/>
        <v>0.08754308573307396</v>
      </c>
      <c r="K107" s="47">
        <f t="shared" si="8"/>
        <v>0.08408307532125928</v>
      </c>
      <c r="L107" s="47">
        <f t="shared" si="8"/>
        <v>0.07758555497712141</v>
      </c>
      <c r="M107" s="47">
        <f t="shared" si="8"/>
        <v>0.07629448995807875</v>
      </c>
      <c r="N107" s="47">
        <f t="shared" si="8"/>
        <v>0.07283941145847604</v>
      </c>
      <c r="O107" s="47">
        <f t="shared" si="8"/>
        <v>1</v>
      </c>
    </row>
    <row r="108" spans="1:15" ht="12.75">
      <c r="A108" s="30"/>
      <c r="B108" t="s">
        <v>180</v>
      </c>
      <c r="C108" s="35">
        <f aca="true" t="shared" si="9" ref="C108:N108">AVERAGE(C106:C107)</f>
        <v>0.07690549780660542</v>
      </c>
      <c r="D108" s="35">
        <f t="shared" si="9"/>
        <v>0.07561937283681067</v>
      </c>
      <c r="E108" s="35">
        <f t="shared" si="9"/>
        <v>0.08756869256603428</v>
      </c>
      <c r="F108" s="35">
        <f t="shared" si="9"/>
        <v>0.08509641676784313</v>
      </c>
      <c r="G108" s="35">
        <f t="shared" si="9"/>
        <v>0.09237180302701015</v>
      </c>
      <c r="H108" s="35">
        <f t="shared" si="9"/>
        <v>0.09446007673732681</v>
      </c>
      <c r="I108" s="35">
        <f t="shared" si="9"/>
        <v>0.09083277642167273</v>
      </c>
      <c r="J108" s="35">
        <f t="shared" si="9"/>
        <v>0.0896310825157988</v>
      </c>
      <c r="K108" s="35">
        <f t="shared" si="9"/>
        <v>0.08380683912268069</v>
      </c>
      <c r="L108" s="35">
        <f t="shared" si="9"/>
        <v>0.07817241002236067</v>
      </c>
      <c r="M108" s="35">
        <f t="shared" si="9"/>
        <v>0.07587498543058589</v>
      </c>
      <c r="N108" s="35">
        <f t="shared" si="9"/>
        <v>0.06966031960359077</v>
      </c>
      <c r="O108" s="47"/>
    </row>
    <row r="109" spans="1:6" ht="12.75">
      <c r="A109" s="12" t="s">
        <v>187</v>
      </c>
      <c r="B109" s="12"/>
      <c r="C109" s="12" t="s">
        <v>176</v>
      </c>
      <c r="D109" s="12" t="s">
        <v>177</v>
      </c>
      <c r="E109" s="12" t="s">
        <v>178</v>
      </c>
      <c r="F109" s="12" t="s">
        <v>179</v>
      </c>
    </row>
    <row r="110" spans="1:6" ht="12.75">
      <c r="A110" t="s">
        <v>175</v>
      </c>
      <c r="B110">
        <v>2000</v>
      </c>
      <c r="C110" s="35">
        <f>C106+D106+E106</f>
        <v>0.24051427659562757</v>
      </c>
      <c r="D110" s="35">
        <f>F106+G106+H106</f>
        <v>0.2727723943630971</v>
      </c>
      <c r="E110" s="35">
        <f>I106+J106+K106</f>
        <v>0.26601680505802533</v>
      </c>
      <c r="F110" s="35">
        <f>L106+M106+N106</f>
        <v>0.22069597371939847</v>
      </c>
    </row>
    <row r="111" spans="2:6" ht="12.75">
      <c r="B111">
        <v>1999</v>
      </c>
      <c r="C111" s="35">
        <f>C107+D107+E107</f>
        <v>0.23967284982327314</v>
      </c>
      <c r="D111" s="35">
        <f>F107+G107+H107</f>
        <v>0.2710841987012631</v>
      </c>
      <c r="E111" s="35">
        <f>I107+J107+K107</f>
        <v>0.2625245910622791</v>
      </c>
      <c r="F111" s="35">
        <f>L107+M107+N107</f>
        <v>0.2267194563936762</v>
      </c>
    </row>
    <row r="112" spans="2:6" ht="12.75">
      <c r="B112" t="s">
        <v>180</v>
      </c>
      <c r="C112" s="35">
        <f>AVERAGE(C110:C111)</f>
        <v>0.24009356320945036</v>
      </c>
      <c r="D112" s="35">
        <f>AVERAGE(D110:D111)</f>
        <v>0.2719282965321801</v>
      </c>
      <c r="E112" s="35">
        <f>AVERAGE(E110:E111)</f>
        <v>0.26427069806015224</v>
      </c>
      <c r="F112" s="35">
        <f>AVERAGE(F110:F111)</f>
        <v>0.22370771505653733</v>
      </c>
    </row>
    <row r="113" ht="12.75">
      <c r="D113" s="35"/>
    </row>
  </sheetData>
  <hyperlinks>
    <hyperlink ref="D80" r:id="rId1" display="http://www.aob.org/IBS/00.2_craftbrewfs.htm"/>
    <hyperlink ref="D64" r:id="rId2" display="http://www.aob.org/IBS/00.2_craftbrewfs.htm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="60" zoomScaleNormal="60" workbookViewId="0" topLeftCell="A1">
      <selection activeCell="A1" sqref="A1:C1"/>
    </sheetView>
  </sheetViews>
  <sheetFormatPr defaultColWidth="9.140625" defaultRowHeight="12.75"/>
  <cols>
    <col min="21" max="21" width="13.00390625" style="0" customWidth="1"/>
    <col min="22" max="22" width="14.7109375" style="0" customWidth="1"/>
    <col min="23" max="23" width="12.00390625" style="0" bestFit="1" customWidth="1"/>
    <col min="24" max="24" width="14.140625" style="0" customWidth="1"/>
  </cols>
  <sheetData>
    <row r="1" spans="1:20" ht="12.75" customHeight="1">
      <c r="A1" s="112"/>
      <c r="B1" s="113"/>
      <c r="C1" s="114"/>
      <c r="D1" s="4"/>
      <c r="E1" s="4"/>
      <c r="F1" s="115" t="s">
        <v>47</v>
      </c>
      <c r="G1" s="114"/>
      <c r="H1" s="5"/>
      <c r="I1" s="115" t="s">
        <v>48</v>
      </c>
      <c r="J1" s="113"/>
      <c r="K1" s="113"/>
      <c r="L1" s="113"/>
      <c r="M1" s="113"/>
      <c r="N1" s="113"/>
      <c r="O1" s="113"/>
      <c r="P1" s="113"/>
      <c r="Q1" s="114"/>
      <c r="R1" s="39"/>
      <c r="T1" s="4"/>
    </row>
    <row r="2" spans="1:25" ht="102">
      <c r="A2" s="6" t="s">
        <v>49</v>
      </c>
      <c r="B2" s="7" t="s">
        <v>50</v>
      </c>
      <c r="C2" s="7" t="s">
        <v>51</v>
      </c>
      <c r="D2" s="7"/>
      <c r="E2" s="7" t="s">
        <v>52</v>
      </c>
      <c r="F2" s="7" t="s">
        <v>53</v>
      </c>
      <c r="G2" s="7" t="s">
        <v>54</v>
      </c>
      <c r="H2" s="7" t="s">
        <v>55</v>
      </c>
      <c r="I2" s="8" t="s">
        <v>56</v>
      </c>
      <c r="J2" s="9" t="s">
        <v>57</v>
      </c>
      <c r="K2" s="9" t="s">
        <v>58</v>
      </c>
      <c r="L2" s="7" t="s">
        <v>59</v>
      </c>
      <c r="M2" s="7" t="s">
        <v>60</v>
      </c>
      <c r="N2" s="7" t="s">
        <v>61</v>
      </c>
      <c r="O2" s="7" t="s">
        <v>62</v>
      </c>
      <c r="P2" s="7" t="s">
        <v>63</v>
      </c>
      <c r="Q2" s="7" t="s">
        <v>64</v>
      </c>
      <c r="R2" s="7" t="s">
        <v>50</v>
      </c>
      <c r="S2" s="10" t="s">
        <v>65</v>
      </c>
      <c r="T2" s="7" t="s">
        <v>52</v>
      </c>
      <c r="U2" s="25" t="s">
        <v>150</v>
      </c>
      <c r="V2" s="25" t="s">
        <v>151</v>
      </c>
      <c r="W2" s="25" t="s">
        <v>195</v>
      </c>
      <c r="X2" s="25" t="s">
        <v>152</v>
      </c>
      <c r="Y2" s="25" t="s">
        <v>153</v>
      </c>
    </row>
    <row r="3" spans="1:25" ht="25.5">
      <c r="A3" s="13">
        <v>1</v>
      </c>
      <c r="B3" s="13" t="s">
        <v>66</v>
      </c>
      <c r="C3" s="13">
        <v>190</v>
      </c>
      <c r="D3" s="13"/>
      <c r="E3" s="15">
        <f>AVERAGE(C3:D3)</f>
        <v>190</v>
      </c>
      <c r="F3" s="13">
        <v>723</v>
      </c>
      <c r="G3" s="15">
        <v>3163</v>
      </c>
      <c r="H3" s="13">
        <v>7</v>
      </c>
      <c r="I3" s="13">
        <v>3</v>
      </c>
      <c r="J3" s="13">
        <v>0</v>
      </c>
      <c r="K3" s="13">
        <v>1</v>
      </c>
      <c r="L3" s="13">
        <v>2</v>
      </c>
      <c r="M3" s="13">
        <v>0</v>
      </c>
      <c r="N3" s="13">
        <v>1</v>
      </c>
      <c r="O3" s="13">
        <v>0</v>
      </c>
      <c r="P3" s="13">
        <v>0</v>
      </c>
      <c r="Q3" s="13">
        <v>0</v>
      </c>
      <c r="R3" s="13" t="s">
        <v>66</v>
      </c>
      <c r="S3" s="17">
        <f aca="true" t="shared" si="0" ref="S3:S31">E3/SUM(E$3:E$31)</f>
        <v>0.046757721176325824</v>
      </c>
      <c r="T3" s="15">
        <v>190</v>
      </c>
      <c r="U3" s="19">
        <f>S3*BrewPM10Emissions!$F$61</f>
        <v>11.231740258057687</v>
      </c>
      <c r="V3" s="106">
        <f>S3*BrewPM10Emissions!$F$62</f>
        <v>6.1043288955752</v>
      </c>
      <c r="W3" s="102">
        <f>S3*SUM(BrewPMEmissions!$F$53:$F$54)</f>
        <v>12.378940775608369</v>
      </c>
      <c r="X3" s="34">
        <f>U3/365</f>
        <v>0.030771891117966268</v>
      </c>
      <c r="Y3" s="34">
        <f>V3/365</f>
        <v>0.01672418875500055</v>
      </c>
    </row>
    <row r="4" spans="1:25" ht="12.75">
      <c r="A4" s="13">
        <v>7</v>
      </c>
      <c r="B4" s="13" t="s">
        <v>67</v>
      </c>
      <c r="C4" s="13">
        <v>100</v>
      </c>
      <c r="D4" s="13">
        <v>249</v>
      </c>
      <c r="E4" s="15">
        <f aca="true" t="shared" si="1" ref="E4:E31">AVERAGE(C4:D4)</f>
        <v>174.5</v>
      </c>
      <c r="F4" s="13">
        <v>0</v>
      </c>
      <c r="G4" s="13">
        <v>0</v>
      </c>
      <c r="H4" s="13">
        <v>2</v>
      </c>
      <c r="I4" s="13">
        <v>1</v>
      </c>
      <c r="J4" s="13">
        <v>0</v>
      </c>
      <c r="K4" s="13">
        <v>0</v>
      </c>
      <c r="L4" s="13">
        <v>0</v>
      </c>
      <c r="M4" s="13">
        <v>0</v>
      </c>
      <c r="N4" s="13">
        <v>1</v>
      </c>
      <c r="O4" s="13">
        <v>0</v>
      </c>
      <c r="P4" s="13">
        <v>0</v>
      </c>
      <c r="Q4" s="13">
        <v>0</v>
      </c>
      <c r="R4" s="13" t="s">
        <v>67</v>
      </c>
      <c r="S4" s="17">
        <f t="shared" si="0"/>
        <v>0.04294327550141504</v>
      </c>
      <c r="T4" s="15">
        <v>174.5</v>
      </c>
      <c r="U4" s="19">
        <f>S4*BrewPM10Emissions!$F$61</f>
        <v>10.315466710689824</v>
      </c>
      <c r="V4" s="106">
        <f>S4*BrewPM10Emissions!$F$62</f>
        <v>5.60634416988354</v>
      </c>
      <c r="W4" s="102">
        <f>S4*SUM(BrewPMEmissions!$F$53:$F$54)</f>
        <v>11.369079817598212</v>
      </c>
      <c r="X4" s="34">
        <f aca="true" t="shared" si="2" ref="X4:X31">U4/365</f>
        <v>0.028261552632026916</v>
      </c>
      <c r="Y4" s="34">
        <f aca="true" t="shared" si="3" ref="Y4:Y31">V4/365</f>
        <v>0.015359847040776822</v>
      </c>
    </row>
    <row r="5" spans="1:25" ht="25.5">
      <c r="A5" s="13">
        <v>9</v>
      </c>
      <c r="B5" s="13" t="s">
        <v>68</v>
      </c>
      <c r="C5" s="13">
        <v>20</v>
      </c>
      <c r="D5" s="13">
        <v>99</v>
      </c>
      <c r="E5" s="15">
        <f t="shared" si="1"/>
        <v>59.5</v>
      </c>
      <c r="F5" s="13">
        <v>0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3">
        <v>0</v>
      </c>
      <c r="O5" s="13">
        <v>0</v>
      </c>
      <c r="P5" s="13">
        <v>0</v>
      </c>
      <c r="Q5" s="13">
        <v>0</v>
      </c>
      <c r="R5" s="13" t="s">
        <v>68</v>
      </c>
      <c r="S5" s="17">
        <f t="shared" si="0"/>
        <v>0.014642549526270457</v>
      </c>
      <c r="T5" s="15">
        <v>59.5</v>
      </c>
      <c r="U5" s="19">
        <f>S5*BrewPM10Emissions!$F$61</f>
        <v>3.517308133444381</v>
      </c>
      <c r="V5" s="106">
        <f>S5*BrewPM10Emissions!$F$62</f>
        <v>1.9116187857196025</v>
      </c>
      <c r="W5" s="102">
        <f>S5*SUM(BrewPMEmissions!$F$53:$F$54)</f>
        <v>3.8765630323615685</v>
      </c>
      <c r="X5" s="34">
        <f t="shared" si="2"/>
        <v>0.009636460639573647</v>
      </c>
      <c r="Y5" s="34">
        <f t="shared" si="3"/>
        <v>0.005237311741697541</v>
      </c>
    </row>
    <row r="6" spans="1:25" ht="38.25">
      <c r="A6" s="13">
        <v>13</v>
      </c>
      <c r="B6" s="13" t="s">
        <v>69</v>
      </c>
      <c r="C6" s="13">
        <v>0</v>
      </c>
      <c r="D6" s="13">
        <v>19</v>
      </c>
      <c r="E6" s="15">
        <f t="shared" si="1"/>
        <v>9.5</v>
      </c>
      <c r="F6" s="13">
        <v>0</v>
      </c>
      <c r="G6" s="13">
        <v>0</v>
      </c>
      <c r="H6" s="13">
        <v>2</v>
      </c>
      <c r="I6" s="13">
        <v>2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 t="s">
        <v>69</v>
      </c>
      <c r="S6" s="17">
        <f t="shared" si="0"/>
        <v>0.002337886058816291</v>
      </c>
      <c r="T6" s="15">
        <v>9.5</v>
      </c>
      <c r="U6" s="19">
        <f>S6*BrewPM10Emissions!$F$61</f>
        <v>0.5615870129028844</v>
      </c>
      <c r="V6" s="106">
        <f>S6*BrewPM10Emissions!$F$62</f>
        <v>0.30521644477876003</v>
      </c>
      <c r="W6" s="102">
        <f>S6*SUM(BrewPMEmissions!$F$53:$F$54)</f>
        <v>0.6189470387804185</v>
      </c>
      <c r="X6" s="34">
        <f t="shared" si="2"/>
        <v>0.0015385945558983134</v>
      </c>
      <c r="Y6" s="34">
        <f t="shared" si="3"/>
        <v>0.0008362094377500275</v>
      </c>
    </row>
    <row r="7" spans="1:25" ht="38.25">
      <c r="A7" s="13">
        <v>17</v>
      </c>
      <c r="B7" s="13" t="s">
        <v>70</v>
      </c>
      <c r="C7" s="13">
        <v>34</v>
      </c>
      <c r="D7" s="13"/>
      <c r="E7" s="15">
        <f t="shared" si="1"/>
        <v>34</v>
      </c>
      <c r="F7" s="13">
        <v>105</v>
      </c>
      <c r="G7" s="13">
        <v>393</v>
      </c>
      <c r="H7" s="13">
        <v>3</v>
      </c>
      <c r="I7" s="13">
        <v>2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 t="s">
        <v>70</v>
      </c>
      <c r="S7" s="17">
        <f t="shared" si="0"/>
        <v>0.008367171157868832</v>
      </c>
      <c r="T7" s="15">
        <v>34</v>
      </c>
      <c r="U7" s="19">
        <f>S7*BrewPM10Emissions!$F$61</f>
        <v>2.0098903619682176</v>
      </c>
      <c r="V7" s="106">
        <f>S7*BrewPM10Emissions!$F$62</f>
        <v>1.0923535918397727</v>
      </c>
      <c r="W7" s="102">
        <f>S7*SUM(BrewPMEmissions!$F$53:$F$54)</f>
        <v>2.215178875635182</v>
      </c>
      <c r="X7" s="34">
        <f t="shared" si="2"/>
        <v>0.005506548936899227</v>
      </c>
      <c r="Y7" s="34">
        <f t="shared" si="3"/>
        <v>0.0029927495666843087</v>
      </c>
    </row>
    <row r="8" spans="1:25" ht="25.5">
      <c r="A8" s="13">
        <v>19</v>
      </c>
      <c r="B8" s="13" t="s">
        <v>71</v>
      </c>
      <c r="C8" s="13">
        <v>0</v>
      </c>
      <c r="D8" s="13">
        <v>19</v>
      </c>
      <c r="E8" s="15">
        <f t="shared" si="1"/>
        <v>9.5</v>
      </c>
      <c r="F8" s="13">
        <v>0</v>
      </c>
      <c r="G8" s="13">
        <v>0</v>
      </c>
      <c r="H8" s="13">
        <v>1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 t="s">
        <v>71</v>
      </c>
      <c r="S8" s="17">
        <f t="shared" si="0"/>
        <v>0.002337886058816291</v>
      </c>
      <c r="T8" s="15">
        <v>9.5</v>
      </c>
      <c r="U8" s="19">
        <f>S8*BrewPM10Emissions!$F$61</f>
        <v>0.5615870129028844</v>
      </c>
      <c r="V8" s="106">
        <f>S8*BrewPM10Emissions!$F$62</f>
        <v>0.30521644477876003</v>
      </c>
      <c r="W8" s="102">
        <f>S8*SUM(BrewPMEmissions!$F$53:$F$54)</f>
        <v>0.6189470387804185</v>
      </c>
      <c r="X8" s="34">
        <f t="shared" si="2"/>
        <v>0.0015385945558983134</v>
      </c>
      <c r="Y8" s="34">
        <f t="shared" si="3"/>
        <v>0.0008362094377500275</v>
      </c>
    </row>
    <row r="9" spans="1:25" ht="25.5">
      <c r="A9" s="13">
        <v>23</v>
      </c>
      <c r="B9" s="13" t="s">
        <v>90</v>
      </c>
      <c r="C9" s="13">
        <v>100</v>
      </c>
      <c r="D9" s="13">
        <v>249</v>
      </c>
      <c r="E9" s="15">
        <f t="shared" si="1"/>
        <v>174.5</v>
      </c>
      <c r="F9" s="13">
        <v>0</v>
      </c>
      <c r="G9" s="13">
        <v>0</v>
      </c>
      <c r="H9" s="13">
        <v>4</v>
      </c>
      <c r="I9" s="13">
        <v>0</v>
      </c>
      <c r="J9" s="13">
        <v>0</v>
      </c>
      <c r="K9" s="13">
        <v>0</v>
      </c>
      <c r="L9" s="13">
        <v>4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 t="s">
        <v>90</v>
      </c>
      <c r="S9" s="17">
        <f t="shared" si="0"/>
        <v>0.04294327550141504</v>
      </c>
      <c r="T9" s="15">
        <v>174.5</v>
      </c>
      <c r="U9" s="19">
        <f>S9*BrewPM10Emissions!$F$61</f>
        <v>10.315466710689824</v>
      </c>
      <c r="V9" s="106">
        <f>S9*BrewPM10Emissions!$F$62</f>
        <v>5.60634416988354</v>
      </c>
      <c r="W9" s="102">
        <f>S9*SUM(BrewPMEmissions!$F$53:$F$54)</f>
        <v>11.369079817598212</v>
      </c>
      <c r="X9" s="34">
        <f t="shared" si="2"/>
        <v>0.028261552632026916</v>
      </c>
      <c r="Y9" s="34">
        <f t="shared" si="3"/>
        <v>0.015359847040776822</v>
      </c>
    </row>
    <row r="10" spans="1:25" ht="12.75">
      <c r="A10" s="13">
        <v>29</v>
      </c>
      <c r="B10" s="13" t="s">
        <v>72</v>
      </c>
      <c r="C10" s="13">
        <v>0</v>
      </c>
      <c r="D10" s="13">
        <v>19</v>
      </c>
      <c r="E10" s="15">
        <f t="shared" si="1"/>
        <v>9.5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 t="s">
        <v>72</v>
      </c>
      <c r="S10" s="17">
        <f t="shared" si="0"/>
        <v>0.002337886058816291</v>
      </c>
      <c r="T10" s="15">
        <v>9.5</v>
      </c>
      <c r="U10" s="19">
        <f>S10*BrewPM10Emissions!$F$61</f>
        <v>0.5615870129028844</v>
      </c>
      <c r="V10" s="106">
        <f>S10*BrewPM10Emissions!$F$62</f>
        <v>0.30521644477876003</v>
      </c>
      <c r="W10" s="102">
        <f>S10*SUM(BrewPMEmissions!$F$53:$F$54)</f>
        <v>0.6189470387804185</v>
      </c>
      <c r="X10" s="34">
        <f t="shared" si="2"/>
        <v>0.0015385945558983134</v>
      </c>
      <c r="Y10" s="34">
        <f t="shared" si="3"/>
        <v>0.0008362094377500275</v>
      </c>
    </row>
    <row r="11" spans="1:25" ht="38.25">
      <c r="A11" s="13">
        <v>37</v>
      </c>
      <c r="B11" s="13" t="s">
        <v>73</v>
      </c>
      <c r="C11" s="15">
        <v>1981</v>
      </c>
      <c r="D11" s="15"/>
      <c r="E11" s="15">
        <f t="shared" si="1"/>
        <v>1981</v>
      </c>
      <c r="F11" s="15">
        <v>28960</v>
      </c>
      <c r="G11" s="15">
        <v>115290</v>
      </c>
      <c r="H11" s="13">
        <v>12</v>
      </c>
      <c r="I11" s="13">
        <v>6</v>
      </c>
      <c r="J11" s="13">
        <v>2</v>
      </c>
      <c r="K11" s="13">
        <v>0</v>
      </c>
      <c r="L11" s="13">
        <v>1</v>
      </c>
      <c r="M11" s="13">
        <v>0</v>
      </c>
      <c r="N11" s="13">
        <v>1</v>
      </c>
      <c r="O11" s="13">
        <v>0</v>
      </c>
      <c r="P11" s="13">
        <v>1</v>
      </c>
      <c r="Q11" s="13">
        <v>1</v>
      </c>
      <c r="R11" s="13" t="s">
        <v>73</v>
      </c>
      <c r="S11" s="17">
        <f t="shared" si="0"/>
        <v>0.48751076658053405</v>
      </c>
      <c r="T11" s="15">
        <v>1981</v>
      </c>
      <c r="U11" s="19">
        <f>S11*BrewPM10Emissions!$F$61</f>
        <v>117.10567079585411</v>
      </c>
      <c r="V11" s="106">
        <f>S11*BrewPM10Emissions!$F$62</f>
        <v>63.645660748076175</v>
      </c>
      <c r="W11" s="102">
        <f>S11*SUM(BrewPMEmissions!$F$53:$F$54)</f>
        <v>129.06674566568518</v>
      </c>
      <c r="X11" s="34">
        <f t="shared" si="2"/>
        <v>0.32083745423521676</v>
      </c>
      <c r="Y11" s="34">
        <f t="shared" si="3"/>
        <v>0.17437167328240047</v>
      </c>
    </row>
    <row r="12" spans="1:25" ht="25.5">
      <c r="A12" s="13">
        <v>45</v>
      </c>
      <c r="B12" s="13" t="s">
        <v>74</v>
      </c>
      <c r="C12" s="13">
        <v>100</v>
      </c>
      <c r="D12" s="13">
        <v>249</v>
      </c>
      <c r="E12" s="15">
        <f t="shared" si="1"/>
        <v>174.5</v>
      </c>
      <c r="F12" s="13">
        <v>0</v>
      </c>
      <c r="G12" s="13">
        <v>0</v>
      </c>
      <c r="H12" s="13">
        <v>3</v>
      </c>
      <c r="I12" s="13">
        <v>0</v>
      </c>
      <c r="J12" s="13">
        <v>0</v>
      </c>
      <c r="K12" s="13">
        <v>0</v>
      </c>
      <c r="L12" s="13">
        <v>1</v>
      </c>
      <c r="M12" s="13">
        <v>2</v>
      </c>
      <c r="N12" s="13">
        <v>0</v>
      </c>
      <c r="O12" s="13">
        <v>0</v>
      </c>
      <c r="P12" s="13">
        <v>0</v>
      </c>
      <c r="Q12" s="13">
        <v>0</v>
      </c>
      <c r="R12" s="13" t="s">
        <v>74</v>
      </c>
      <c r="S12" s="17">
        <f t="shared" si="0"/>
        <v>0.04294327550141504</v>
      </c>
      <c r="T12" s="15">
        <v>174.5</v>
      </c>
      <c r="U12" s="19">
        <f>S12*BrewPM10Emissions!$F$61</f>
        <v>10.315466710689824</v>
      </c>
      <c r="V12" s="106">
        <f>S12*BrewPM10Emissions!$F$62</f>
        <v>5.60634416988354</v>
      </c>
      <c r="W12" s="102">
        <f>S12*SUM(BrewPMEmissions!$F$53:$F$54)</f>
        <v>11.369079817598212</v>
      </c>
      <c r="X12" s="34">
        <f t="shared" si="2"/>
        <v>0.028261552632026916</v>
      </c>
      <c r="Y12" s="34">
        <f t="shared" si="3"/>
        <v>0.015359847040776822</v>
      </c>
    </row>
    <row r="13" spans="1:25" ht="12.75">
      <c r="A13" s="13">
        <v>55</v>
      </c>
      <c r="B13" s="13" t="s">
        <v>91</v>
      </c>
      <c r="C13" s="13">
        <v>0</v>
      </c>
      <c r="D13" s="13">
        <v>19</v>
      </c>
      <c r="E13" s="15">
        <f t="shared" si="1"/>
        <v>9.5</v>
      </c>
      <c r="F13" s="13">
        <v>0</v>
      </c>
      <c r="G13" s="13">
        <v>0</v>
      </c>
      <c r="H13" s="13">
        <v>4</v>
      </c>
      <c r="I13" s="13">
        <v>4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91</v>
      </c>
      <c r="S13" s="17">
        <f t="shared" si="0"/>
        <v>0.002337886058816291</v>
      </c>
      <c r="T13" s="15">
        <v>9.5</v>
      </c>
      <c r="U13" s="19">
        <f>S13*BrewPM10Emissions!$F$61</f>
        <v>0.5615870129028844</v>
      </c>
      <c r="V13" s="106">
        <f>S13*BrewPM10Emissions!$F$62</f>
        <v>0.30521644477876003</v>
      </c>
      <c r="W13" s="102">
        <f>S13*SUM(BrewPMEmissions!$F$53:$F$54)</f>
        <v>0.6189470387804185</v>
      </c>
      <c r="X13" s="34">
        <f t="shared" si="2"/>
        <v>0.0015385945558983134</v>
      </c>
      <c r="Y13" s="34">
        <f t="shared" si="3"/>
        <v>0.0008362094377500275</v>
      </c>
    </row>
    <row r="14" spans="1:25" ht="25.5">
      <c r="A14" s="13">
        <v>57</v>
      </c>
      <c r="B14" s="13" t="s">
        <v>75</v>
      </c>
      <c r="C14" s="13">
        <v>0</v>
      </c>
      <c r="D14" s="13">
        <v>19</v>
      </c>
      <c r="E14" s="15">
        <f t="shared" si="1"/>
        <v>9.5</v>
      </c>
      <c r="F14" s="13">
        <v>0</v>
      </c>
      <c r="G14" s="13">
        <v>0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 t="s">
        <v>75</v>
      </c>
      <c r="S14" s="17">
        <f t="shared" si="0"/>
        <v>0.002337886058816291</v>
      </c>
      <c r="T14" s="15">
        <v>9.5</v>
      </c>
      <c r="U14" s="19">
        <f>S14*BrewPM10Emissions!$F$61</f>
        <v>0.5615870129028844</v>
      </c>
      <c r="V14" s="106">
        <f>S14*BrewPM10Emissions!$F$62</f>
        <v>0.30521644477876003</v>
      </c>
      <c r="W14" s="102">
        <f>S14*SUM(BrewPMEmissions!$F$53:$F$54)</f>
        <v>0.6189470387804185</v>
      </c>
      <c r="X14" s="34">
        <f t="shared" si="2"/>
        <v>0.0015385945558983134</v>
      </c>
      <c r="Y14" s="34">
        <f t="shared" si="3"/>
        <v>0.0008362094377500275</v>
      </c>
    </row>
    <row r="15" spans="1:25" ht="25.5">
      <c r="A15" s="13">
        <v>59</v>
      </c>
      <c r="B15" s="13" t="s">
        <v>76</v>
      </c>
      <c r="C15" s="13">
        <v>0</v>
      </c>
      <c r="D15" s="13">
        <v>19</v>
      </c>
      <c r="E15" s="15">
        <f t="shared" si="1"/>
        <v>9.5</v>
      </c>
      <c r="F15" s="13">
        <v>0</v>
      </c>
      <c r="G15" s="13">
        <v>0</v>
      </c>
      <c r="H15" s="13">
        <v>3</v>
      </c>
      <c r="I15" s="13">
        <v>3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 t="s">
        <v>76</v>
      </c>
      <c r="S15" s="17">
        <f t="shared" si="0"/>
        <v>0.002337886058816291</v>
      </c>
      <c r="T15" s="15">
        <v>9.5</v>
      </c>
      <c r="U15" s="19">
        <f>S15*BrewPM10Emissions!$F$61</f>
        <v>0.5615870129028844</v>
      </c>
      <c r="V15" s="106">
        <f>S15*BrewPM10Emissions!$F$62</f>
        <v>0.30521644477876003</v>
      </c>
      <c r="W15" s="102">
        <f>S15*SUM(BrewPMEmissions!$F$53:$F$54)</f>
        <v>0.6189470387804185</v>
      </c>
      <c r="X15" s="34">
        <f t="shared" si="2"/>
        <v>0.0015385945558983134</v>
      </c>
      <c r="Y15" s="34">
        <f t="shared" si="3"/>
        <v>0.0008362094377500275</v>
      </c>
    </row>
    <row r="16" spans="1:25" ht="25.5">
      <c r="A16" s="13">
        <v>61</v>
      </c>
      <c r="B16" s="13" t="s">
        <v>77</v>
      </c>
      <c r="C16" s="13">
        <v>0</v>
      </c>
      <c r="D16" s="13">
        <v>19</v>
      </c>
      <c r="E16" s="15">
        <f t="shared" si="1"/>
        <v>9.5</v>
      </c>
      <c r="F16" s="13">
        <v>0</v>
      </c>
      <c r="G16" s="13">
        <v>0</v>
      </c>
      <c r="H16" s="13">
        <v>1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 t="s">
        <v>77</v>
      </c>
      <c r="S16" s="17">
        <f t="shared" si="0"/>
        <v>0.002337886058816291</v>
      </c>
      <c r="T16" s="15">
        <v>9.5</v>
      </c>
      <c r="U16" s="19">
        <f>S16*BrewPM10Emissions!$F$61</f>
        <v>0.5615870129028844</v>
      </c>
      <c r="V16" s="106">
        <f>S16*BrewPM10Emissions!$F$62</f>
        <v>0.30521644477876003</v>
      </c>
      <c r="W16" s="102">
        <f>S16*SUM(BrewPMEmissions!$F$53:$F$54)</f>
        <v>0.6189470387804185</v>
      </c>
      <c r="X16" s="34">
        <f t="shared" si="2"/>
        <v>0.0015385945558983134</v>
      </c>
      <c r="Y16" s="34">
        <f t="shared" si="3"/>
        <v>0.0008362094377500275</v>
      </c>
    </row>
    <row r="17" spans="1:25" ht="25.5">
      <c r="A17" s="13">
        <v>65</v>
      </c>
      <c r="B17" s="13" t="s">
        <v>78</v>
      </c>
      <c r="C17" s="13">
        <v>0</v>
      </c>
      <c r="D17" s="13">
        <v>19</v>
      </c>
      <c r="E17" s="15">
        <f t="shared" si="1"/>
        <v>9.5</v>
      </c>
      <c r="F17" s="13">
        <v>0</v>
      </c>
      <c r="G17" s="13">
        <v>0</v>
      </c>
      <c r="H17" s="13">
        <v>1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 t="s">
        <v>78</v>
      </c>
      <c r="S17" s="17">
        <f t="shared" si="0"/>
        <v>0.002337886058816291</v>
      </c>
      <c r="T17" s="15">
        <v>9.5</v>
      </c>
      <c r="U17" s="19">
        <f>S17*BrewPM10Emissions!$F$61</f>
        <v>0.5615870129028844</v>
      </c>
      <c r="V17" s="106">
        <f>S17*BrewPM10Emissions!$F$62</f>
        <v>0.30521644477876003</v>
      </c>
      <c r="W17" s="102">
        <f>S17*SUM(BrewPMEmissions!$F$53:$F$54)</f>
        <v>0.6189470387804185</v>
      </c>
      <c r="X17" s="34">
        <f t="shared" si="2"/>
        <v>0.0015385945558983134</v>
      </c>
      <c r="Y17" s="34">
        <f t="shared" si="3"/>
        <v>0.0008362094377500275</v>
      </c>
    </row>
    <row r="18" spans="1:25" ht="25.5">
      <c r="A18" s="13">
        <v>67</v>
      </c>
      <c r="B18" s="13" t="s">
        <v>79</v>
      </c>
      <c r="C18" s="13">
        <v>100</v>
      </c>
      <c r="D18" s="13">
        <v>249</v>
      </c>
      <c r="E18" s="15">
        <f t="shared" si="1"/>
        <v>174.5</v>
      </c>
      <c r="F18" s="13">
        <v>0</v>
      </c>
      <c r="G18" s="13">
        <v>0</v>
      </c>
      <c r="H18" s="13">
        <v>4</v>
      </c>
      <c r="I18" s="13">
        <v>1</v>
      </c>
      <c r="J18" s="13">
        <v>0</v>
      </c>
      <c r="K18" s="13">
        <v>0</v>
      </c>
      <c r="L18" s="13">
        <v>2</v>
      </c>
      <c r="M18" s="13">
        <v>1</v>
      </c>
      <c r="N18" s="13">
        <v>0</v>
      </c>
      <c r="O18" s="13">
        <v>0</v>
      </c>
      <c r="P18" s="13">
        <v>0</v>
      </c>
      <c r="Q18" s="13">
        <v>0</v>
      </c>
      <c r="R18" s="13" t="s">
        <v>79</v>
      </c>
      <c r="S18" s="17">
        <f t="shared" si="0"/>
        <v>0.04294327550141504</v>
      </c>
      <c r="T18" s="15">
        <v>174.5</v>
      </c>
      <c r="U18" s="19">
        <f>S18*BrewPM10Emissions!$F$61</f>
        <v>10.315466710689824</v>
      </c>
      <c r="V18" s="106">
        <f>S18*BrewPM10Emissions!$F$62</f>
        <v>5.60634416988354</v>
      </c>
      <c r="W18" s="102">
        <f>S18*SUM(BrewPMEmissions!$F$53:$F$54)</f>
        <v>11.369079817598212</v>
      </c>
      <c r="X18" s="34">
        <f t="shared" si="2"/>
        <v>0.028261552632026916</v>
      </c>
      <c r="Y18" s="34">
        <f t="shared" si="3"/>
        <v>0.015359847040776822</v>
      </c>
    </row>
    <row r="19" spans="1:25" ht="38.25">
      <c r="A19" s="13">
        <v>69</v>
      </c>
      <c r="B19" s="13" t="s">
        <v>80</v>
      </c>
      <c r="C19" s="13">
        <v>0</v>
      </c>
      <c r="D19" s="13">
        <v>19</v>
      </c>
      <c r="E19" s="15">
        <f t="shared" si="1"/>
        <v>9.5</v>
      </c>
      <c r="F19" s="13">
        <v>0</v>
      </c>
      <c r="G19" s="13">
        <v>0</v>
      </c>
      <c r="H19" s="13">
        <v>1</v>
      </c>
      <c r="I19" s="13">
        <v>0</v>
      </c>
      <c r="J19" s="13">
        <v>1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 t="s">
        <v>80</v>
      </c>
      <c r="S19" s="17">
        <f t="shared" si="0"/>
        <v>0.002337886058816291</v>
      </c>
      <c r="T19" s="15">
        <v>9.5</v>
      </c>
      <c r="U19" s="19">
        <f>S19*BrewPM10Emissions!$F$61</f>
        <v>0.5615870129028844</v>
      </c>
      <c r="V19" s="106">
        <f>S19*BrewPM10Emissions!$F$62</f>
        <v>0.30521644477876003</v>
      </c>
      <c r="W19" s="102">
        <f>S19*SUM(BrewPMEmissions!$F$53:$F$54)</f>
        <v>0.6189470387804185</v>
      </c>
      <c r="X19" s="34">
        <f t="shared" si="2"/>
        <v>0.0015385945558983134</v>
      </c>
      <c r="Y19" s="34">
        <f t="shared" si="3"/>
        <v>0.0008362094377500275</v>
      </c>
    </row>
    <row r="20" spans="1:25" ht="38.25">
      <c r="A20" s="13">
        <v>71</v>
      </c>
      <c r="B20" s="13" t="s">
        <v>81</v>
      </c>
      <c r="C20" s="13">
        <v>0</v>
      </c>
      <c r="D20" s="13">
        <v>19</v>
      </c>
      <c r="E20" s="15">
        <f t="shared" si="1"/>
        <v>9.5</v>
      </c>
      <c r="F20" s="13">
        <v>0</v>
      </c>
      <c r="G20" s="13">
        <v>0</v>
      </c>
      <c r="H20" s="13">
        <v>1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 t="s">
        <v>81</v>
      </c>
      <c r="S20" s="17">
        <f t="shared" si="0"/>
        <v>0.002337886058816291</v>
      </c>
      <c r="T20" s="15">
        <v>9.5</v>
      </c>
      <c r="U20" s="19">
        <f>S20*BrewPM10Emissions!$F$61</f>
        <v>0.5615870129028844</v>
      </c>
      <c r="V20" s="106">
        <f>S20*BrewPM10Emissions!$F$62</f>
        <v>0.30521644477876003</v>
      </c>
      <c r="W20" s="102">
        <f>S20*SUM(BrewPMEmissions!$F$53:$F$54)</f>
        <v>0.6189470387804185</v>
      </c>
      <c r="X20" s="34">
        <f t="shared" si="2"/>
        <v>0.0015385945558983134</v>
      </c>
      <c r="Y20" s="34">
        <f t="shared" si="3"/>
        <v>0.0008362094377500275</v>
      </c>
    </row>
    <row r="21" spans="1:25" ht="38.25">
      <c r="A21" s="13">
        <v>73</v>
      </c>
      <c r="B21" s="13" t="s">
        <v>82</v>
      </c>
      <c r="C21" s="13">
        <v>81</v>
      </c>
      <c r="D21" s="13"/>
      <c r="E21" s="15">
        <f t="shared" si="1"/>
        <v>81</v>
      </c>
      <c r="F21" s="13">
        <v>580</v>
      </c>
      <c r="G21" s="15">
        <v>2631</v>
      </c>
      <c r="H21" s="13">
        <v>6</v>
      </c>
      <c r="I21" s="13">
        <v>2</v>
      </c>
      <c r="J21" s="13">
        <v>2</v>
      </c>
      <c r="K21" s="13">
        <v>1</v>
      </c>
      <c r="L21" s="13">
        <v>1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 t="s">
        <v>82</v>
      </c>
      <c r="S21" s="17">
        <f t="shared" si="0"/>
        <v>0.019933554817275746</v>
      </c>
      <c r="T21" s="15">
        <v>81</v>
      </c>
      <c r="U21" s="19">
        <f>S21*BrewPM10Emissions!$F$61</f>
        <v>4.788268215277225</v>
      </c>
      <c r="V21" s="106">
        <f>S21*BrewPM10Emissions!$F$62</f>
        <v>2.6023717923241643</v>
      </c>
      <c r="W21" s="102">
        <f>S21*SUM(BrewPMEmissions!$F$53:$F$54)</f>
        <v>5.277337909601463</v>
      </c>
      <c r="X21" s="34">
        <f t="shared" si="2"/>
        <v>0.01311854305555404</v>
      </c>
      <c r="Y21" s="34">
        <f t="shared" si="3"/>
        <v>0.007129785732394971</v>
      </c>
    </row>
    <row r="22" spans="1:25" ht="38.25">
      <c r="A22" s="13">
        <v>75</v>
      </c>
      <c r="B22" s="13" t="s">
        <v>92</v>
      </c>
      <c r="C22" s="13">
        <v>20</v>
      </c>
      <c r="D22" s="13">
        <v>99</v>
      </c>
      <c r="E22" s="15">
        <f t="shared" si="1"/>
        <v>59.5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0</v>
      </c>
      <c r="P22" s="13">
        <v>0</v>
      </c>
      <c r="Q22" s="13">
        <v>0</v>
      </c>
      <c r="R22" s="13" t="s">
        <v>92</v>
      </c>
      <c r="S22" s="17">
        <f t="shared" si="0"/>
        <v>0.014642549526270457</v>
      </c>
      <c r="T22" s="15">
        <v>59.5</v>
      </c>
      <c r="U22" s="19">
        <f>S22*BrewPM10Emissions!$F$61</f>
        <v>3.517308133444381</v>
      </c>
      <c r="V22" s="106">
        <f>S22*BrewPM10Emissions!$F$62</f>
        <v>1.9116187857196025</v>
      </c>
      <c r="W22" s="102">
        <f>S22*SUM(BrewPMEmissions!$F$53:$F$54)</f>
        <v>3.8765630323615685</v>
      </c>
      <c r="X22" s="34">
        <f t="shared" si="2"/>
        <v>0.009636460639573647</v>
      </c>
      <c r="Y22" s="34">
        <f t="shared" si="3"/>
        <v>0.005237311741697541</v>
      </c>
    </row>
    <row r="23" spans="1:25" ht="38.25">
      <c r="A23" s="13">
        <v>79</v>
      </c>
      <c r="B23" s="13" t="s">
        <v>83</v>
      </c>
      <c r="C23" s="13">
        <v>20</v>
      </c>
      <c r="D23" s="13">
        <v>99</v>
      </c>
      <c r="E23" s="15">
        <f t="shared" si="1"/>
        <v>59.5</v>
      </c>
      <c r="F23" s="13">
        <v>0</v>
      </c>
      <c r="G23" s="13">
        <v>0</v>
      </c>
      <c r="H23" s="13">
        <v>3</v>
      </c>
      <c r="I23" s="13">
        <v>1</v>
      </c>
      <c r="J23" s="13">
        <v>1</v>
      </c>
      <c r="K23" s="13">
        <v>0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  <c r="R23" s="13" t="s">
        <v>83</v>
      </c>
      <c r="S23" s="17">
        <f t="shared" si="0"/>
        <v>0.014642549526270457</v>
      </c>
      <c r="T23" s="15">
        <v>59.5</v>
      </c>
      <c r="U23" s="19">
        <f>S23*BrewPM10Emissions!$F$61</f>
        <v>3.517308133444381</v>
      </c>
      <c r="V23" s="106">
        <f>S23*BrewPM10Emissions!$F$62</f>
        <v>1.9116187857196025</v>
      </c>
      <c r="W23" s="102">
        <f>S23*SUM(BrewPMEmissions!$F$53:$F$54)</f>
        <v>3.8765630323615685</v>
      </c>
      <c r="X23" s="34">
        <f t="shared" si="2"/>
        <v>0.009636460639573647</v>
      </c>
      <c r="Y23" s="34">
        <f t="shared" si="3"/>
        <v>0.005237311741697541</v>
      </c>
    </row>
    <row r="24" spans="1:25" ht="38.25">
      <c r="A24" s="13">
        <v>81</v>
      </c>
      <c r="B24" s="13" t="s">
        <v>93</v>
      </c>
      <c r="C24" s="13">
        <v>20</v>
      </c>
      <c r="D24" s="13">
        <v>99</v>
      </c>
      <c r="E24" s="15">
        <f t="shared" si="1"/>
        <v>59.5</v>
      </c>
      <c r="F24" s="13">
        <v>0</v>
      </c>
      <c r="G24" s="13">
        <v>0</v>
      </c>
      <c r="H24" s="13">
        <v>2</v>
      </c>
      <c r="I24" s="13">
        <v>0</v>
      </c>
      <c r="J24" s="13">
        <v>1</v>
      </c>
      <c r="K24" s="13">
        <v>0</v>
      </c>
      <c r="L24" s="13"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 t="s">
        <v>93</v>
      </c>
      <c r="S24" s="17">
        <f t="shared" si="0"/>
        <v>0.014642549526270457</v>
      </c>
      <c r="T24" s="15">
        <v>59.5</v>
      </c>
      <c r="U24" s="19">
        <f>S24*BrewPM10Emissions!$F$61</f>
        <v>3.517308133444381</v>
      </c>
      <c r="V24" s="106">
        <f>S24*BrewPM10Emissions!$F$62</f>
        <v>1.9116187857196025</v>
      </c>
      <c r="W24" s="102">
        <f>S24*SUM(BrewPMEmissions!$F$53:$F$54)</f>
        <v>3.8765630323615685</v>
      </c>
      <c r="X24" s="34">
        <f t="shared" si="2"/>
        <v>0.009636460639573647</v>
      </c>
      <c r="Y24" s="34">
        <f t="shared" si="3"/>
        <v>0.005237311741697541</v>
      </c>
    </row>
    <row r="25" spans="1:25" ht="38.25">
      <c r="A25" s="13">
        <v>83</v>
      </c>
      <c r="B25" s="13" t="s">
        <v>84</v>
      </c>
      <c r="C25" s="13">
        <v>20</v>
      </c>
      <c r="D25" s="13">
        <v>99</v>
      </c>
      <c r="E25" s="15">
        <f t="shared" si="1"/>
        <v>59.5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 t="s">
        <v>84</v>
      </c>
      <c r="S25" s="17">
        <f t="shared" si="0"/>
        <v>0.014642549526270457</v>
      </c>
      <c r="T25" s="15">
        <v>59.5</v>
      </c>
      <c r="U25" s="19">
        <f>S25*BrewPM10Emissions!$F$61</f>
        <v>3.517308133444381</v>
      </c>
      <c r="V25" s="106">
        <f>S25*BrewPM10Emissions!$F$62</f>
        <v>1.9116187857196025</v>
      </c>
      <c r="W25" s="102">
        <f>S25*SUM(BrewPMEmissions!$F$53:$F$54)</f>
        <v>3.8765630323615685</v>
      </c>
      <c r="X25" s="34">
        <f t="shared" si="2"/>
        <v>0.009636460639573647</v>
      </c>
      <c r="Y25" s="34">
        <f t="shared" si="3"/>
        <v>0.005237311741697541</v>
      </c>
    </row>
    <row r="26" spans="1:25" ht="25.5">
      <c r="A26" s="13">
        <v>85</v>
      </c>
      <c r="B26" s="13" t="s">
        <v>94</v>
      </c>
      <c r="C26" s="13">
        <v>0</v>
      </c>
      <c r="D26" s="13">
        <v>19</v>
      </c>
      <c r="E26" s="15">
        <f t="shared" si="1"/>
        <v>9.5</v>
      </c>
      <c r="F26" s="13">
        <v>0</v>
      </c>
      <c r="G26" s="13">
        <v>0</v>
      </c>
      <c r="H26" s="13">
        <v>1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 t="s">
        <v>94</v>
      </c>
      <c r="S26" s="17">
        <f t="shared" si="0"/>
        <v>0.002337886058816291</v>
      </c>
      <c r="T26" s="15">
        <v>9.5</v>
      </c>
      <c r="U26" s="19">
        <f>S26*BrewPM10Emissions!$F$61</f>
        <v>0.5615870129028844</v>
      </c>
      <c r="V26" s="106">
        <f>S26*BrewPM10Emissions!$F$62</f>
        <v>0.30521644477876003</v>
      </c>
      <c r="W26" s="102">
        <f>S26*SUM(BrewPMEmissions!$F$53:$F$54)</f>
        <v>0.6189470387804185</v>
      </c>
      <c r="X26" s="34">
        <f t="shared" si="2"/>
        <v>0.0015385945558983134</v>
      </c>
      <c r="Y26" s="34">
        <f t="shared" si="3"/>
        <v>0.0008362094377500275</v>
      </c>
    </row>
    <row r="27" spans="1:25" ht="25.5">
      <c r="A27" s="13">
        <v>87</v>
      </c>
      <c r="B27" s="13" t="s">
        <v>85</v>
      </c>
      <c r="C27" s="13">
        <v>20</v>
      </c>
      <c r="D27" s="13">
        <v>99</v>
      </c>
      <c r="E27" s="15">
        <f t="shared" si="1"/>
        <v>59.5</v>
      </c>
      <c r="F27" s="13">
        <v>0</v>
      </c>
      <c r="G27" s="13">
        <v>0</v>
      </c>
      <c r="H27" s="13">
        <v>2</v>
      </c>
      <c r="I27" s="13">
        <v>1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 t="s">
        <v>85</v>
      </c>
      <c r="S27" s="17">
        <f t="shared" si="0"/>
        <v>0.014642549526270457</v>
      </c>
      <c r="T27" s="15">
        <v>59.5</v>
      </c>
      <c r="U27" s="19">
        <f>S27*BrewPM10Emissions!$F$61</f>
        <v>3.517308133444381</v>
      </c>
      <c r="V27" s="106">
        <f>S27*BrewPM10Emissions!$F$62</f>
        <v>1.9116187857196025</v>
      </c>
      <c r="W27" s="102">
        <f>S27*SUM(BrewPMEmissions!$F$53:$F$54)</f>
        <v>3.8765630323615685</v>
      </c>
      <c r="X27" s="34">
        <f t="shared" si="2"/>
        <v>0.009636460639573647</v>
      </c>
      <c r="Y27" s="34">
        <f t="shared" si="3"/>
        <v>0.005237311741697541</v>
      </c>
    </row>
    <row r="28" spans="1:25" ht="25.5">
      <c r="A28" s="13">
        <v>95</v>
      </c>
      <c r="B28" s="13" t="s">
        <v>86</v>
      </c>
      <c r="C28" s="13">
        <v>250</v>
      </c>
      <c r="D28" s="13">
        <v>499</v>
      </c>
      <c r="E28" s="15">
        <f t="shared" si="1"/>
        <v>374.5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1</v>
      </c>
      <c r="P28" s="13">
        <v>0</v>
      </c>
      <c r="Q28" s="13">
        <v>0</v>
      </c>
      <c r="R28" s="13" t="s">
        <v>86</v>
      </c>
      <c r="S28" s="17">
        <f t="shared" si="0"/>
        <v>0.0921619293712317</v>
      </c>
      <c r="T28" s="15">
        <v>374.5</v>
      </c>
      <c r="U28" s="19">
        <f>S28*BrewPM10Emissions!$F$61</f>
        <v>22.13835119285581</v>
      </c>
      <c r="V28" s="106">
        <f>S28*BrewPM10Emissions!$F$62</f>
        <v>12.03195353364691</v>
      </c>
      <c r="W28" s="102">
        <f>S28*SUM(BrewPMEmissions!$F$53:$F$54)</f>
        <v>24.399543791922813</v>
      </c>
      <c r="X28" s="34">
        <f t="shared" si="2"/>
        <v>0.06065301696672825</v>
      </c>
      <c r="Y28" s="34">
        <f t="shared" si="3"/>
        <v>0.032964256256566876</v>
      </c>
    </row>
    <row r="29" spans="1:25" ht="25.5">
      <c r="A29" s="13">
        <v>97</v>
      </c>
      <c r="B29" s="13" t="s">
        <v>87</v>
      </c>
      <c r="C29" s="13">
        <v>100</v>
      </c>
      <c r="D29" s="13">
        <v>249</v>
      </c>
      <c r="E29" s="15">
        <f t="shared" si="1"/>
        <v>174.5</v>
      </c>
      <c r="F29" s="13">
        <v>0</v>
      </c>
      <c r="G29" s="13">
        <v>0</v>
      </c>
      <c r="H29" s="13">
        <v>4</v>
      </c>
      <c r="I29" s="13">
        <v>1</v>
      </c>
      <c r="J29" s="13">
        <v>0</v>
      </c>
      <c r="K29" s="13">
        <v>0</v>
      </c>
      <c r="L29" s="13">
        <v>3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 t="s">
        <v>87</v>
      </c>
      <c r="S29" s="17">
        <f t="shared" si="0"/>
        <v>0.04294327550141504</v>
      </c>
      <c r="T29" s="15">
        <v>174.5</v>
      </c>
      <c r="U29" s="19">
        <f>S29*BrewPM10Emissions!$F$61</f>
        <v>10.315466710689824</v>
      </c>
      <c r="V29" s="106">
        <f>S29*BrewPM10Emissions!$F$62</f>
        <v>5.60634416988354</v>
      </c>
      <c r="W29" s="102">
        <f>S29*SUM(BrewPMEmissions!$F$53:$F$54)</f>
        <v>11.369079817598212</v>
      </c>
      <c r="X29" s="34">
        <f t="shared" si="2"/>
        <v>0.028261552632026916</v>
      </c>
      <c r="Y29" s="34">
        <f t="shared" si="3"/>
        <v>0.015359847040776822</v>
      </c>
    </row>
    <row r="30" spans="1:25" ht="25.5">
      <c r="A30" s="13">
        <v>99</v>
      </c>
      <c r="B30" s="13" t="s">
        <v>88</v>
      </c>
      <c r="C30" s="13">
        <v>20</v>
      </c>
      <c r="D30" s="13">
        <v>99</v>
      </c>
      <c r="E30" s="15">
        <f t="shared" si="1"/>
        <v>59.5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 t="s">
        <v>88</v>
      </c>
      <c r="S30" s="17">
        <f t="shared" si="0"/>
        <v>0.014642549526270457</v>
      </c>
      <c r="T30" s="15">
        <v>59.5</v>
      </c>
      <c r="U30" s="19">
        <f>S30*BrewPM10Emissions!$F$61</f>
        <v>3.517308133444381</v>
      </c>
      <c r="V30" s="106">
        <f>S30*BrewPM10Emissions!$F$62</f>
        <v>1.9116187857196025</v>
      </c>
      <c r="W30" s="102">
        <f>S30*SUM(BrewPMEmissions!$F$53:$F$54)</f>
        <v>3.8765630323615685</v>
      </c>
      <c r="X30" s="34">
        <f t="shared" si="2"/>
        <v>0.009636460639573647</v>
      </c>
      <c r="Y30" s="34">
        <f t="shared" si="3"/>
        <v>0.005237311741697541</v>
      </c>
    </row>
    <row r="31" spans="1:25" ht="25.5">
      <c r="A31" s="13">
        <v>101</v>
      </c>
      <c r="B31" s="13" t="s">
        <v>89</v>
      </c>
      <c r="C31" s="13">
        <v>0</v>
      </c>
      <c r="D31" s="13">
        <v>19</v>
      </c>
      <c r="E31" s="15">
        <f t="shared" si="1"/>
        <v>9.5</v>
      </c>
      <c r="F31" s="13">
        <v>0</v>
      </c>
      <c r="G31" s="13">
        <v>0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 t="s">
        <v>89</v>
      </c>
      <c r="S31" s="17">
        <f t="shared" si="0"/>
        <v>0.002337886058816291</v>
      </c>
      <c r="T31" s="15">
        <v>9.5</v>
      </c>
      <c r="U31" s="19">
        <f>S31*BrewPM10Emissions!$F$61</f>
        <v>0.5615870129028844</v>
      </c>
      <c r="V31" s="106">
        <f>S31*BrewPM10Emissions!$F$62</f>
        <v>0.30521644477876003</v>
      </c>
      <c r="W31" s="102">
        <f>S31*SUM(BrewPMEmissions!$F$53:$F$54)</f>
        <v>0.6189470387804185</v>
      </c>
      <c r="X31" s="34">
        <f t="shared" si="2"/>
        <v>0.0015385945558983134</v>
      </c>
      <c r="Y31" s="34">
        <f t="shared" si="3"/>
        <v>0.0008362094377500275</v>
      </c>
    </row>
    <row r="32" spans="5:25" ht="12.75">
      <c r="E32" s="14">
        <f>SUM(E3:E31)</f>
        <v>4063.5</v>
      </c>
      <c r="S32" t="s">
        <v>197</v>
      </c>
      <c r="T32" s="14">
        <v>4063.5</v>
      </c>
      <c r="U32" s="40">
        <f>SUM(U3:U31)</f>
        <v>240.21145546640747</v>
      </c>
      <c r="V32" s="34">
        <f>SUM(V3:V31)</f>
        <v>130.55231824826228</v>
      </c>
      <c r="W32" s="102">
        <f>SUM(W3:W31)</f>
        <v>264.74645179834</v>
      </c>
      <c r="X32" s="34">
        <f>SUM(X3:X31)</f>
        <v>0.6581135766202947</v>
      </c>
      <c r="Y32" s="34">
        <f>SUM(Y3:Y31)</f>
        <v>0.35767758424181456</v>
      </c>
    </row>
    <row r="33" spans="19:23" ht="12.75">
      <c r="S33" t="s">
        <v>198</v>
      </c>
      <c r="U33" s="40">
        <f>U31+U28+U18+U16+U14+U12+U7+U5+U4</f>
        <v>60.296710859046534</v>
      </c>
      <c r="V33" s="40">
        <f>V31+V28+V18+V16+V14+V12+V7+V5+V4</f>
        <v>32.77060775519318</v>
      </c>
      <c r="W33" s="40">
        <f>W31+W28+W18+W16+W14+W12+W7+W5+W4</f>
        <v>66.45536626905546</v>
      </c>
    </row>
  </sheetData>
  <mergeCells count="3">
    <mergeCell ref="A1:C1"/>
    <mergeCell ref="F1:G1"/>
    <mergeCell ref="I1:Q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bestFit="1" customWidth="1"/>
    <col min="3" max="3" width="18.140625" style="0" bestFit="1" customWidth="1"/>
    <col min="4" max="4" width="14.57421875" style="0" customWidth="1"/>
    <col min="5" max="5" width="12.8515625" style="0" bestFit="1" customWidth="1"/>
    <col min="6" max="6" width="15.57421875" style="0" bestFit="1" customWidth="1"/>
    <col min="7" max="7" width="12.7109375" style="0" bestFit="1" customWidth="1"/>
    <col min="8" max="8" width="12.8515625" style="0" bestFit="1" customWidth="1"/>
    <col min="9" max="9" width="10.7109375" style="0" bestFit="1" customWidth="1"/>
    <col min="10" max="10" width="14.421875" style="0" bestFit="1" customWidth="1"/>
    <col min="11" max="11" width="10.57421875" style="0" bestFit="1" customWidth="1"/>
    <col min="12" max="12" width="12.8515625" style="0" customWidth="1"/>
    <col min="13" max="18" width="10.57421875" style="0" bestFit="1" customWidth="1"/>
    <col min="19" max="20" width="9.421875" style="0" bestFit="1" customWidth="1"/>
    <col min="21" max="21" width="9.28125" style="0" bestFit="1" customWidth="1"/>
    <col min="22" max="22" width="9.28125" style="0" customWidth="1"/>
  </cols>
  <sheetData>
    <row r="1" spans="1:27" ht="12.75">
      <c r="A1" s="50" t="s">
        <v>347</v>
      </c>
      <c r="B1" s="51"/>
      <c r="C1" s="51"/>
      <c r="F1" s="51"/>
      <c r="G1" s="52"/>
      <c r="I1" s="50"/>
      <c r="J1" s="53" t="s">
        <v>199</v>
      </c>
      <c r="K1" s="51" t="s">
        <v>200</v>
      </c>
      <c r="L1" s="51" t="s">
        <v>201</v>
      </c>
      <c r="M1" s="52" t="s">
        <v>202</v>
      </c>
      <c r="N1" s="98" t="s">
        <v>326</v>
      </c>
      <c r="O1" s="99" t="s">
        <v>323</v>
      </c>
      <c r="P1" s="99" t="s">
        <v>324</v>
      </c>
      <c r="Q1" s="100" t="s">
        <v>327</v>
      </c>
      <c r="U1" s="52" t="s">
        <v>204</v>
      </c>
      <c r="V1" s="39"/>
      <c r="X1" t="s">
        <v>323</v>
      </c>
      <c r="Y1" t="s">
        <v>324</v>
      </c>
      <c r="Z1" t="s">
        <v>325</v>
      </c>
      <c r="AA1" s="51" t="s">
        <v>203</v>
      </c>
    </row>
    <row r="2" spans="1:27" ht="12.75">
      <c r="A2" s="54" t="s">
        <v>205</v>
      </c>
      <c r="B2" s="39" t="s">
        <v>206</v>
      </c>
      <c r="C2" s="39"/>
      <c r="F2" s="39"/>
      <c r="G2" s="55"/>
      <c r="I2" s="54"/>
      <c r="J2" s="39" t="s">
        <v>205</v>
      </c>
      <c r="K2" s="39">
        <f>0.06*2+0.95+0.4+0.51</f>
        <v>1.9799999999999998</v>
      </c>
      <c r="L2" s="39">
        <f>0.06*2+0.017+0.4+0.51</f>
        <v>1.0470000000000002</v>
      </c>
      <c r="M2" s="55">
        <f>AVERAGE(K2:L2)</f>
        <v>1.5135</v>
      </c>
      <c r="N2" s="54"/>
      <c r="O2" s="39">
        <v>1.1</v>
      </c>
      <c r="P2" s="39">
        <v>0.016</v>
      </c>
      <c r="Q2" s="55">
        <f>AVERAGE(O2:P2)</f>
        <v>0.558</v>
      </c>
      <c r="U2" s="55">
        <f>AA2/AA3</f>
        <v>1.1764705882352942</v>
      </c>
      <c r="V2" s="39"/>
      <c r="W2" t="s">
        <v>322</v>
      </c>
      <c r="X2" s="39">
        <f>0.06*2+0.95+0.4+0.51</f>
        <v>1.9799999999999998</v>
      </c>
      <c r="Y2" s="39">
        <f>0.06*2+0.017+0.4+0.51</f>
        <v>1.0470000000000002</v>
      </c>
      <c r="Z2" s="39">
        <f>AVERAGE(X2:Y2)</f>
        <v>1.5135</v>
      </c>
      <c r="AA2" s="39">
        <v>2</v>
      </c>
    </row>
    <row r="3" spans="1:27" ht="12.75">
      <c r="A3" s="56">
        <f>+(0.035+0.035+0.035+0.063+0.035+0.0031+(0.99*0.035)+(0.99*0.035))*(1-0.85)</f>
        <v>0.04131000000000001</v>
      </c>
      <c r="B3" s="57">
        <f>(0.0078+0.0078+0.0078+0.032+0.0078+0.0031+(0.99*0.0078)+(0.99*0.0078))*(1-0.85)</f>
        <v>0.012261600000000003</v>
      </c>
      <c r="C3" s="39"/>
      <c r="F3" s="39"/>
      <c r="G3" s="55"/>
      <c r="I3" s="63"/>
      <c r="J3" s="64" t="s">
        <v>206</v>
      </c>
      <c r="K3" s="64">
        <f>0.06*2+0.82+0.31+0.51</f>
        <v>1.76</v>
      </c>
      <c r="L3" s="64">
        <f>0.06*2+0.015+0.31+0.51</f>
        <v>0.9550000000000001</v>
      </c>
      <c r="M3" s="65">
        <f>AVERAGE(K3:L3)</f>
        <v>1.3575</v>
      </c>
      <c r="N3" s="63"/>
      <c r="O3" s="64">
        <v>0.81</v>
      </c>
      <c r="P3" s="64">
        <v>0.013</v>
      </c>
      <c r="Q3" s="65">
        <f>AVERAGE(O3:P3)</f>
        <v>0.41150000000000003</v>
      </c>
      <c r="U3" s="55"/>
      <c r="V3" s="39"/>
      <c r="X3" s="39">
        <f>0.06*2+0.82+0.31+0.51</f>
        <v>1.76</v>
      </c>
      <c r="Y3" s="39">
        <f>0.06*2+0.015+0.31+0.51</f>
        <v>0.9550000000000001</v>
      </c>
      <c r="Z3" s="39">
        <f>AVERAGE(X3:Y3)</f>
        <v>1.3575</v>
      </c>
      <c r="AA3" s="39">
        <v>1.7</v>
      </c>
    </row>
    <row r="4" spans="1:17" ht="12.75">
      <c r="A4" s="60">
        <f>+((0.99*(0.035+0.035+0.0031))+(0.97*(0.035+0.27)))*(1-0.85)</f>
        <v>0.05523285000000002</v>
      </c>
      <c r="B4" s="61">
        <f>+((0.99*(0.0078+0.0078+0.0031))+(0.97*(0.0078+0.27)))*(1-0.85)</f>
        <v>0.04319685</v>
      </c>
      <c r="C4" s="39"/>
      <c r="F4" s="39"/>
      <c r="G4" s="55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60">
        <f>+(0.2*(0.035+0.035))*(1-0.85)</f>
        <v>0.0021000000000000007</v>
      </c>
      <c r="B5" s="61">
        <f>+(0.2*(0.0078+0.0078))*(1-0.85)</f>
        <v>0.00046800000000000005</v>
      </c>
      <c r="C5" s="39"/>
      <c r="F5" s="39"/>
      <c r="G5" s="55"/>
      <c r="I5" s="50"/>
      <c r="J5" s="53" t="s">
        <v>207</v>
      </c>
      <c r="K5" s="51"/>
      <c r="L5" s="51"/>
      <c r="M5" s="51"/>
      <c r="N5" s="51"/>
      <c r="O5" s="52"/>
      <c r="P5" s="39"/>
      <c r="Q5" s="39"/>
    </row>
    <row r="6" spans="1:17" ht="12.75">
      <c r="A6" s="60">
        <f>+(0.084*0.77*(0.035+0.035))*(1-0.85)</f>
        <v>0.0006791400000000002</v>
      </c>
      <c r="B6" s="61">
        <f>+(0.084*0.77*(0.0078+0.0078))*(1-0.85)</f>
        <v>0.00015135120000000002</v>
      </c>
      <c r="C6" s="39"/>
      <c r="F6" s="39"/>
      <c r="G6" s="55"/>
      <c r="I6" s="54" t="s">
        <v>208</v>
      </c>
      <c r="J6" s="39" t="s">
        <v>209</v>
      </c>
      <c r="K6" s="39"/>
      <c r="L6" s="39" t="s">
        <v>330</v>
      </c>
      <c r="M6" s="62" t="s">
        <v>329</v>
      </c>
      <c r="N6" s="62" t="s">
        <v>328</v>
      </c>
      <c r="O6" s="55"/>
      <c r="P6" s="39"/>
      <c r="Q6" s="39"/>
    </row>
    <row r="7" spans="1:17" ht="12.75">
      <c r="A7" s="60">
        <f>+(0.69*0.77*(0.035+0.05+0.035+0.035))*(1-0.85)</f>
        <v>0.012352725000000004</v>
      </c>
      <c r="B7" s="61">
        <f>+(0.69*0.77*(0.0078+0.05+0.0078+0.0078))*(1-0.85)</f>
        <v>0.005849613000000002</v>
      </c>
      <c r="C7" s="39"/>
      <c r="F7" s="39"/>
      <c r="G7" s="55"/>
      <c r="I7" s="54">
        <f>$J15*0.845*L7/2000</f>
        <v>13.647746560573125</v>
      </c>
      <c r="J7" s="39">
        <f>$J15*0.845*M7/2000</f>
        <v>15.902780501790001</v>
      </c>
      <c r="K7" s="39" t="s">
        <v>210</v>
      </c>
      <c r="L7" s="39">
        <f>($Q$3*N7+$M$3)*(1-0.85)</f>
        <v>0.25732575</v>
      </c>
      <c r="M7" s="39">
        <f>($Q$2*N7+$M$2)*(1-0.85)</f>
        <v>0.29984400000000005</v>
      </c>
      <c r="N7" s="39">
        <v>0.87</v>
      </c>
      <c r="O7" s="55"/>
      <c r="P7" s="39"/>
      <c r="Q7" s="39"/>
    </row>
    <row r="8" spans="1:17" ht="12.75">
      <c r="A8" s="60">
        <f>0.08*0.77*(((0.035+0.035)*(1-0.85))+(70*(1-0.98)))</f>
        <v>0.08688680000000008</v>
      </c>
      <c r="B8" s="61">
        <f>0.08*0.77*(((0.0078+0.0078)*(1-0.85))+(35*(1-0.98)))</f>
        <v>0.04326414400000004</v>
      </c>
      <c r="C8" s="39"/>
      <c r="F8" s="39"/>
      <c r="G8" s="55"/>
      <c r="I8" s="54">
        <f>$J16*0.77*L8/2000</f>
        <v>5.67544679249625</v>
      </c>
      <c r="J8" s="39">
        <f>$J16*0.77*M8/2000</f>
        <v>6.6132078427800005</v>
      </c>
      <c r="K8" s="39" t="s">
        <v>211</v>
      </c>
      <c r="L8" s="39">
        <f>($Q$3*N8+$M$3)*(1-0.85)</f>
        <v>0.25732575</v>
      </c>
      <c r="M8" s="39">
        <f>($Q$2*N8+$M$2)*(1-0.85)</f>
        <v>0.29984400000000005</v>
      </c>
      <c r="N8" s="39">
        <v>0.87</v>
      </c>
      <c r="O8" s="55"/>
      <c r="P8" s="39"/>
      <c r="Q8" s="39"/>
    </row>
    <row r="9" spans="1:17" ht="12.75">
      <c r="A9" s="60">
        <f>+(0.155*0.77*(0.017+0.017))*(1-0.85)</f>
        <v>0.0006086850000000002</v>
      </c>
      <c r="B9" s="61">
        <f>+(0.155*0.77*(0.017+0.017))*(1-0.85)</f>
        <v>0.0006086850000000002</v>
      </c>
      <c r="C9" s="39" t="s">
        <v>342</v>
      </c>
      <c r="F9" s="39" t="s">
        <v>345</v>
      </c>
      <c r="G9" s="55" t="s">
        <v>346</v>
      </c>
      <c r="I9" s="54">
        <f>$J18*1.072*L9/2000</f>
        <v>0.16819925702400002</v>
      </c>
      <c r="J9" s="39">
        <f>$J18*1.072*M9/2000</f>
        <v>0.18895157920800001</v>
      </c>
      <c r="K9" s="39" t="s">
        <v>212</v>
      </c>
      <c r="L9" s="39">
        <f>($Q$3*N9+$M$3)*(1-0.85)</f>
        <v>0.21103200000000003</v>
      </c>
      <c r="M9" s="39">
        <f>($Q$2*N9+$M$2)*(1-0.85)</f>
        <v>0.23706900000000003</v>
      </c>
      <c r="N9" s="39">
        <v>0.12</v>
      </c>
      <c r="O9" s="55"/>
      <c r="P9" s="39"/>
      <c r="Q9" s="39"/>
    </row>
    <row r="10" spans="1:17" ht="12.75">
      <c r="A10" s="56">
        <f>SUM(A3:A9)</f>
        <v>0.19917020000000013</v>
      </c>
      <c r="B10" s="57">
        <f>SUM(B3:B9)</f>
        <v>0.10580024320000005</v>
      </c>
      <c r="C10" s="39">
        <v>1963119</v>
      </c>
      <c r="F10" s="39" t="s">
        <v>213</v>
      </c>
      <c r="G10" s="55" t="s">
        <v>213</v>
      </c>
      <c r="I10" s="63">
        <f>$J17*0.173*L10/2000</f>
        <v>0.11464046977500002</v>
      </c>
      <c r="J10" s="64">
        <f>$J17*0.173*M10/2000</f>
        <v>0.13145244975</v>
      </c>
      <c r="K10" s="101" t="s">
        <v>214</v>
      </c>
      <c r="L10" s="39">
        <f>($Q$3*N10+$M$3)*(1-0.85)</f>
        <v>0.23448750000000004</v>
      </c>
      <c r="M10" s="39">
        <f>($Q$2*N10+$M$2)*(1-0.85)</f>
        <v>0.26887500000000003</v>
      </c>
      <c r="N10" s="101">
        <v>0.5</v>
      </c>
      <c r="O10" s="65"/>
      <c r="P10" s="39"/>
      <c r="Q10" s="39"/>
    </row>
    <row r="11" spans="1:17" ht="12.75">
      <c r="A11" s="54"/>
      <c r="B11" s="39"/>
      <c r="C11" s="39" t="s">
        <v>343</v>
      </c>
      <c r="F11" s="67">
        <f>C10*1.19*B3/2000</f>
        <v>14.322233058588003</v>
      </c>
      <c r="G11" s="55">
        <f>C10*1.19*A3/2000</f>
        <v>48.25238530455002</v>
      </c>
      <c r="I11" s="39"/>
      <c r="J11" s="39"/>
      <c r="K11" s="39"/>
      <c r="L11" s="39"/>
      <c r="M11" s="39"/>
      <c r="N11" s="39"/>
      <c r="O11" s="39"/>
      <c r="P11" s="39"/>
      <c r="Q11" s="39"/>
    </row>
    <row r="12" spans="1:7" ht="12.75">
      <c r="A12" s="54"/>
      <c r="B12" s="39"/>
      <c r="C12" s="66">
        <f>C10*1.19</f>
        <v>2336111.61</v>
      </c>
      <c r="F12" s="39" t="s">
        <v>215</v>
      </c>
      <c r="G12" s="55" t="s">
        <v>215</v>
      </c>
    </row>
    <row r="13" spans="1:15" ht="12.75">
      <c r="A13" s="54"/>
      <c r="B13" s="39"/>
      <c r="C13" s="39" t="s">
        <v>344</v>
      </c>
      <c r="F13" s="39">
        <f>SUM(B4:B9)*C10*1.19*0.84/2000</f>
        <v>91.77701835253042</v>
      </c>
      <c r="G13" s="55">
        <f>SUM(A4:A9)*C10*1.19*0.84/2000</f>
        <v>154.88719931030732</v>
      </c>
      <c r="I13" s="50" t="s">
        <v>216</v>
      </c>
      <c r="J13" s="51"/>
      <c r="K13" s="51"/>
      <c r="L13" s="52"/>
      <c r="N13" s="50" t="s">
        <v>331</v>
      </c>
      <c r="O13" s="52"/>
    </row>
    <row r="14" spans="1:15" ht="12.75">
      <c r="A14" s="54"/>
      <c r="B14" s="39"/>
      <c r="C14" s="67">
        <f>C12*0.84</f>
        <v>1962333.7523999999</v>
      </c>
      <c r="F14" s="39"/>
      <c r="G14" s="55"/>
      <c r="I14" s="54" t="s">
        <v>217</v>
      </c>
      <c r="J14" s="39" t="s">
        <v>218</v>
      </c>
      <c r="K14" s="39" t="s">
        <v>219</v>
      </c>
      <c r="L14" s="55" t="s">
        <v>220</v>
      </c>
      <c r="N14" s="110">
        <f>0.47*0.4*(239000+351500+6852+121500)</f>
        <v>135144.176</v>
      </c>
      <c r="O14" s="55" t="s">
        <v>201</v>
      </c>
    </row>
    <row r="15" spans="1:15" ht="12.75">
      <c r="A15" s="54"/>
      <c r="B15" s="39"/>
      <c r="C15" s="39"/>
      <c r="F15" s="39"/>
      <c r="G15" s="55"/>
      <c r="I15" s="54" t="s">
        <v>221</v>
      </c>
      <c r="J15" s="39">
        <f>125495+36</f>
        <v>125531</v>
      </c>
      <c r="K15" s="39">
        <f>309888+36</f>
        <v>309924</v>
      </c>
      <c r="L15" s="68">
        <f aca="true" t="shared" si="0" ref="L15:L20">J15/K15</f>
        <v>0.40503800931841355</v>
      </c>
      <c r="N15" s="111">
        <f>0.47*0.6*(239000+351500+6852+121500)</f>
        <v>202716.26399999997</v>
      </c>
      <c r="O15" s="65" t="s">
        <v>200</v>
      </c>
    </row>
    <row r="16" spans="1:12" ht="12.75">
      <c r="A16" s="54" t="s">
        <v>222</v>
      </c>
      <c r="B16" s="39"/>
      <c r="C16" s="39"/>
      <c r="D16" t="s">
        <v>332</v>
      </c>
      <c r="F16" s="39"/>
      <c r="G16" s="55"/>
      <c r="I16" s="54" t="s">
        <v>223</v>
      </c>
      <c r="J16" s="39">
        <v>57287</v>
      </c>
      <c r="K16" s="39">
        <v>458697</v>
      </c>
      <c r="L16" s="68">
        <f t="shared" si="0"/>
        <v>0.12489072306991325</v>
      </c>
    </row>
    <row r="17" spans="1:12" ht="12.75">
      <c r="A17" s="54"/>
      <c r="B17" s="39" t="s">
        <v>224</v>
      </c>
      <c r="C17" s="39" t="s">
        <v>225</v>
      </c>
      <c r="D17" t="s">
        <v>333</v>
      </c>
      <c r="E17" s="39" t="s">
        <v>225</v>
      </c>
      <c r="F17" s="39" t="s">
        <v>348</v>
      </c>
      <c r="G17" s="55" t="s">
        <v>349</v>
      </c>
      <c r="I17" s="54" t="s">
        <v>228</v>
      </c>
      <c r="J17" s="39">
        <v>5652</v>
      </c>
      <c r="K17" s="39">
        <v>6852</v>
      </c>
      <c r="L17" s="68">
        <f t="shared" si="0"/>
        <v>0.8248686514886164</v>
      </c>
    </row>
    <row r="18" spans="1:12" ht="12.75">
      <c r="A18" s="54" t="s">
        <v>229</v>
      </c>
      <c r="B18" s="39">
        <v>10</v>
      </c>
      <c r="C18" s="69">
        <f aca="true" t="shared" si="1" ref="C18:C29">B18/$B$29</f>
        <v>0.06329113924050633</v>
      </c>
      <c r="D18" s="48">
        <v>431.901</v>
      </c>
      <c r="E18" s="69">
        <f>D18/$D$29</f>
        <v>0.1841800021663169</v>
      </c>
      <c r="F18" s="83">
        <f>($C18*0.25+$E18*0.75)*$F$11</f>
        <v>2.2050192985044443</v>
      </c>
      <c r="G18" s="84">
        <f>($C18*0.25+$E18*0.75)*$G$11</f>
        <v>7.4288304316906935</v>
      </c>
      <c r="I18" s="54" t="s">
        <v>230</v>
      </c>
      <c r="J18" s="39">
        <v>1487</v>
      </c>
      <c r="K18" s="39">
        <v>65892</v>
      </c>
      <c r="L18" s="68">
        <f t="shared" si="0"/>
        <v>0.02256723122685607</v>
      </c>
    </row>
    <row r="19" spans="1:12" ht="12.75">
      <c r="A19" s="54" t="s">
        <v>231</v>
      </c>
      <c r="B19" s="39">
        <v>54</v>
      </c>
      <c r="C19" s="69">
        <f t="shared" si="1"/>
        <v>0.34177215189873417</v>
      </c>
      <c r="D19" s="48">
        <v>620</v>
      </c>
      <c r="E19" s="69">
        <f aca="true" t="shared" si="2" ref="E19:E29">D19/$D$29</f>
        <v>0.264393000579106</v>
      </c>
      <c r="F19" s="83">
        <f aca="true" t="shared" si="3" ref="F19:F28">($C19*0.25+$E19*0.75)*$F$11</f>
        <v>4.0637587331222145</v>
      </c>
      <c r="G19" s="84">
        <f aca="true" t="shared" si="4" ref="G19:G29">($C19*0.25+$E19*0.75)*$G$11</f>
        <v>13.691025091772582</v>
      </c>
      <c r="I19" s="54" t="s">
        <v>232</v>
      </c>
      <c r="J19" s="39"/>
      <c r="K19" s="39">
        <v>700</v>
      </c>
      <c r="L19" s="68">
        <f t="shared" si="0"/>
        <v>0</v>
      </c>
    </row>
    <row r="20" spans="1:12" ht="12.75">
      <c r="A20" t="s">
        <v>269</v>
      </c>
      <c r="B20" s="14">
        <v>0</v>
      </c>
      <c r="C20" s="69">
        <f t="shared" si="1"/>
        <v>0</v>
      </c>
      <c r="D20" s="48">
        <v>390.482</v>
      </c>
      <c r="E20" s="69">
        <f t="shared" si="2"/>
        <v>0.16651727040666206</v>
      </c>
      <c r="F20" s="83">
        <f t="shared" si="3"/>
        <v>1.7886743662830997</v>
      </c>
      <c r="G20" s="84">
        <f t="shared" si="4"/>
        <v>6.026141618643151</v>
      </c>
      <c r="I20" s="54" t="s">
        <v>234</v>
      </c>
      <c r="J20" s="39"/>
      <c r="K20" s="39">
        <v>224</v>
      </c>
      <c r="L20" s="68">
        <f t="shared" si="0"/>
        <v>0</v>
      </c>
    </row>
    <row r="21" spans="1:12" ht="12.75">
      <c r="A21" t="s">
        <v>273</v>
      </c>
      <c r="B21" s="14">
        <v>0</v>
      </c>
      <c r="C21" s="69">
        <f t="shared" si="1"/>
        <v>0</v>
      </c>
      <c r="D21" s="48">
        <v>58.138</v>
      </c>
      <c r="E21" s="69">
        <f t="shared" si="2"/>
        <v>0.024792387528496877</v>
      </c>
      <c r="F21" s="83">
        <f t="shared" si="3"/>
        <v>0.2663117641964721</v>
      </c>
      <c r="G21" s="84">
        <f t="shared" si="4"/>
        <v>0.8972188767335638</v>
      </c>
      <c r="I21" s="54" t="s">
        <v>236</v>
      </c>
      <c r="J21" s="69">
        <f>31336/SUM(J15:J20)</f>
        <v>0.16496364966808277</v>
      </c>
      <c r="K21" s="69">
        <f>15657/SUM(K15:K20)</f>
        <v>0.018588631692922502</v>
      </c>
      <c r="L21" s="68"/>
    </row>
    <row r="22" spans="1:12" ht="12.75">
      <c r="A22" s="54" t="s">
        <v>233</v>
      </c>
      <c r="B22" s="39">
        <v>54</v>
      </c>
      <c r="C22" s="69">
        <f t="shared" si="1"/>
        <v>0.34177215189873417</v>
      </c>
      <c r="D22" s="48">
        <v>39.92</v>
      </c>
      <c r="E22" s="69">
        <f t="shared" si="2"/>
        <v>0.01702349771470631</v>
      </c>
      <c r="F22" s="83">
        <f t="shared" si="3"/>
        <v>1.4065959794139757</v>
      </c>
      <c r="G22" s="84">
        <f t="shared" si="4"/>
        <v>4.738898668166581</v>
      </c>
      <c r="I22" s="63"/>
      <c r="J22" s="64">
        <f>SUM(J15:J20)</f>
        <v>189957</v>
      </c>
      <c r="K22" s="64">
        <f>SUM(K15:K20)</f>
        <v>842289</v>
      </c>
      <c r="L22" s="72">
        <f>J22/K22</f>
        <v>0.2255247308227936</v>
      </c>
    </row>
    <row r="23" spans="1:7" ht="12.75">
      <c r="A23" t="s">
        <v>276</v>
      </c>
      <c r="B23" s="14">
        <v>0</v>
      </c>
      <c r="C23" s="69">
        <f t="shared" si="1"/>
        <v>0</v>
      </c>
      <c r="D23" s="48">
        <v>1.858</v>
      </c>
      <c r="E23" s="69">
        <f t="shared" si="2"/>
        <v>0.0007923261210902886</v>
      </c>
      <c r="F23" s="83">
        <f t="shared" si="3"/>
        <v>0.008510909523496599</v>
      </c>
      <c r="G23" s="84">
        <f t="shared" si="4"/>
        <v>0.028673718961281118</v>
      </c>
    </row>
    <row r="24" spans="1:7" ht="12.75">
      <c r="A24" s="54" t="s">
        <v>235</v>
      </c>
      <c r="B24" s="39">
        <v>10</v>
      </c>
      <c r="C24" s="69">
        <f t="shared" si="1"/>
        <v>0.06329113924050633</v>
      </c>
      <c r="D24" s="48">
        <v>0</v>
      </c>
      <c r="E24" s="69">
        <f t="shared" si="2"/>
        <v>0</v>
      </c>
      <c r="F24" s="83">
        <f t="shared" si="3"/>
        <v>0.22661761168651903</v>
      </c>
      <c r="G24" s="84">
        <f t="shared" si="4"/>
        <v>0.7634871092492092</v>
      </c>
    </row>
    <row r="25" spans="1:7" ht="12.75">
      <c r="A25" s="54" t="s">
        <v>237</v>
      </c>
      <c r="B25" s="39">
        <v>10</v>
      </c>
      <c r="C25" s="69">
        <f t="shared" si="1"/>
        <v>0.06329113924050633</v>
      </c>
      <c r="D25" s="48">
        <v>516.579</v>
      </c>
      <c r="E25" s="69">
        <f t="shared" si="2"/>
        <v>0.22029011588089353</v>
      </c>
      <c r="F25" s="83">
        <f t="shared" si="3"/>
        <v>2.5929023967986558</v>
      </c>
      <c r="G25" s="84">
        <f t="shared" si="4"/>
        <v>8.735629771950844</v>
      </c>
    </row>
    <row r="26" spans="1:7" ht="12.75">
      <c r="A26" t="s">
        <v>280</v>
      </c>
      <c r="B26" s="14">
        <v>0</v>
      </c>
      <c r="C26" s="69">
        <f t="shared" si="1"/>
        <v>0</v>
      </c>
      <c r="D26" s="48">
        <v>2.25</v>
      </c>
      <c r="E26" s="69">
        <f t="shared" si="2"/>
        <v>0.0009594907279080459</v>
      </c>
      <c r="F26" s="83">
        <f t="shared" si="3"/>
        <v>0.010306537366989962</v>
      </c>
      <c r="G26" s="84">
        <f t="shared" si="4"/>
        <v>0.034723287224371645</v>
      </c>
    </row>
    <row r="27" spans="1:7" ht="12.75">
      <c r="A27" s="54" t="s">
        <v>238</v>
      </c>
      <c r="B27" s="39">
        <v>10</v>
      </c>
      <c r="C27" s="69">
        <f t="shared" si="1"/>
        <v>0.06329113924050633</v>
      </c>
      <c r="D27" s="48">
        <v>130.062</v>
      </c>
      <c r="E27" s="69">
        <f t="shared" si="2"/>
        <v>0.055463681356967234</v>
      </c>
      <c r="F27" s="83">
        <f t="shared" si="3"/>
        <v>0.8223904396978295</v>
      </c>
      <c r="G27" s="84">
        <f t="shared" si="4"/>
        <v>2.770678301683087</v>
      </c>
    </row>
    <row r="28" spans="1:7" ht="12.75">
      <c r="A28" s="54" t="s">
        <v>239</v>
      </c>
      <c r="B28" s="39">
        <v>10</v>
      </c>
      <c r="C28" s="69">
        <f t="shared" si="1"/>
        <v>0.06329113924050633</v>
      </c>
      <c r="D28" s="48">
        <v>153.804</v>
      </c>
      <c r="E28" s="69">
        <f t="shared" si="2"/>
        <v>0.06558822751785294</v>
      </c>
      <c r="F28" s="83">
        <f t="shared" si="3"/>
        <v>0.9311450219943076</v>
      </c>
      <c r="G28" s="84">
        <f t="shared" si="4"/>
        <v>3.137078428474657</v>
      </c>
    </row>
    <row r="29" spans="1:7" ht="12.75">
      <c r="A29" s="54"/>
      <c r="B29" s="39">
        <v>158</v>
      </c>
      <c r="C29" s="69">
        <f t="shared" si="1"/>
        <v>1</v>
      </c>
      <c r="D29" s="103">
        <f>(SUM(D18:D28))</f>
        <v>2344.9939999999997</v>
      </c>
      <c r="E29" s="69">
        <f t="shared" si="2"/>
        <v>1</v>
      </c>
      <c r="F29" s="83">
        <f>$C29*$F$11</f>
        <v>14.322233058588003</v>
      </c>
      <c r="G29" s="84">
        <f t="shared" si="4"/>
        <v>48.25238530455002</v>
      </c>
    </row>
    <row r="30" spans="1:7" ht="12.75">
      <c r="A30" s="54"/>
      <c r="B30" s="39"/>
      <c r="C30" s="39"/>
      <c r="F30" s="39"/>
      <c r="G30" s="55"/>
    </row>
    <row r="31" spans="1:7" ht="12.75">
      <c r="A31" s="54" t="s">
        <v>240</v>
      </c>
      <c r="B31" s="39"/>
      <c r="C31" s="39"/>
      <c r="F31" s="39"/>
      <c r="G31" s="55"/>
    </row>
    <row r="32" spans="1:23" ht="12.75">
      <c r="A32" s="54"/>
      <c r="B32" s="39" t="s">
        <v>224</v>
      </c>
      <c r="C32" s="39" t="s">
        <v>225</v>
      </c>
      <c r="F32" s="39" t="s">
        <v>348</v>
      </c>
      <c r="G32" s="55" t="s">
        <v>349</v>
      </c>
      <c r="I32" s="50"/>
      <c r="J32" s="51" t="s">
        <v>335</v>
      </c>
      <c r="K32" s="51" t="s">
        <v>241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2.75">
      <c r="A33" s="54" t="s">
        <v>229</v>
      </c>
      <c r="B33" s="39">
        <v>175</v>
      </c>
      <c r="C33" s="69">
        <f>B33/$B$37</f>
        <v>0.1736111111111111</v>
      </c>
      <c r="F33" s="59">
        <f>$C33*$F$13</f>
        <v>15.933510130647642</v>
      </c>
      <c r="G33" s="87">
        <f>$C33*$G$13</f>
        <v>26.890138769150575</v>
      </c>
      <c r="I33" s="54"/>
      <c r="J33" s="39" t="s">
        <v>15</v>
      </c>
      <c r="K33" s="39" t="s">
        <v>242</v>
      </c>
      <c r="L33" s="39"/>
      <c r="M33" s="39"/>
      <c r="N33" s="39"/>
      <c r="O33" s="39" t="s">
        <v>243</v>
      </c>
      <c r="P33" s="39"/>
      <c r="Q33" s="39"/>
      <c r="R33" s="39" t="s">
        <v>226</v>
      </c>
      <c r="S33" s="39" t="s">
        <v>227</v>
      </c>
      <c r="T33" s="39" t="s">
        <v>226</v>
      </c>
      <c r="U33" s="39" t="s">
        <v>227</v>
      </c>
      <c r="V33" s="39" t="s">
        <v>226</v>
      </c>
      <c r="W33" s="55" t="s">
        <v>227</v>
      </c>
    </row>
    <row r="34" spans="1:23" ht="12.75">
      <c r="A34" s="54" t="s">
        <v>231</v>
      </c>
      <c r="B34" s="39">
        <v>375</v>
      </c>
      <c r="C34" s="69">
        <f>B34/$B$37</f>
        <v>0.37202380952380953</v>
      </c>
      <c r="F34" s="59">
        <f>$C34*$F$13</f>
        <v>34.14323599424495</v>
      </c>
      <c r="G34" s="87">
        <f>$C34*$G$13</f>
        <v>57.6217259338941</v>
      </c>
      <c r="I34" s="54"/>
      <c r="J34" s="39" t="s">
        <v>336</v>
      </c>
      <c r="K34" s="39">
        <v>493130</v>
      </c>
      <c r="L34" s="39">
        <v>311119</v>
      </c>
      <c r="M34" s="39">
        <v>31121</v>
      </c>
      <c r="N34" s="39" t="s">
        <v>337</v>
      </c>
      <c r="O34" s="39">
        <v>493130</v>
      </c>
      <c r="P34" s="39">
        <v>311119</v>
      </c>
      <c r="Q34" s="39">
        <v>31121</v>
      </c>
      <c r="R34" s="39" t="s">
        <v>244</v>
      </c>
      <c r="S34" s="39"/>
      <c r="T34" s="39" t="s">
        <v>245</v>
      </c>
      <c r="U34" s="39"/>
      <c r="V34" s="39" t="s">
        <v>246</v>
      </c>
      <c r="W34" s="55"/>
    </row>
    <row r="35" spans="1:23" ht="12.75">
      <c r="A35" s="54" t="s">
        <v>247</v>
      </c>
      <c r="B35" s="39">
        <v>60</v>
      </c>
      <c r="C35" s="69">
        <f>B35/$B$37</f>
        <v>0.05952380952380952</v>
      </c>
      <c r="F35" s="83">
        <f>$C35*$F$13</f>
        <v>5.4629177590791915</v>
      </c>
      <c r="G35" s="84">
        <f>$C35*$G$13</f>
        <v>9.219476149423054</v>
      </c>
      <c r="I35" s="73" t="s">
        <v>334</v>
      </c>
      <c r="J35">
        <v>1.715</v>
      </c>
      <c r="K35" s="39"/>
      <c r="L35" s="39"/>
      <c r="M35" s="39"/>
      <c r="N35" s="69">
        <f aca="true" t="shared" si="5" ref="N35:N46">J35/SUM(J$35:J$46)</f>
        <v>0.0013618677042801558</v>
      </c>
      <c r="O35" s="69">
        <f aca="true" t="shared" si="6" ref="O35:O46">K35/SUM(K$35:K$46)</f>
        <v>0</v>
      </c>
      <c r="P35" s="69">
        <f aca="true" t="shared" si="7" ref="P35:P46">L35/SUM(L$35:L$46)</f>
        <v>0</v>
      </c>
      <c r="Q35" s="69">
        <f aca="true" t="shared" si="8" ref="Q35:Q46">M35/SUM(M$35:M$46)</f>
        <v>0</v>
      </c>
      <c r="R35" s="83">
        <f aca="true" t="shared" si="9" ref="R35:R46">R$47*(0.25*$O35+0.75*N35)</f>
        <v>0.008346022135214008</v>
      </c>
      <c r="S35" s="83">
        <f aca="true" t="shared" si="10" ref="S35:S46">S$47*(0.25*$O35+0.75*N35)</f>
        <v>0.018276442485408564</v>
      </c>
      <c r="T35" s="83">
        <f aca="true" t="shared" si="11" ref="T35:U46">T$47*$P35</f>
        <v>0</v>
      </c>
      <c r="U35" s="83">
        <f t="shared" si="11"/>
        <v>0</v>
      </c>
      <c r="V35" s="83">
        <f aca="true" t="shared" si="12" ref="V35:W46">V$47*$Q35</f>
        <v>0</v>
      </c>
      <c r="W35" s="84">
        <f t="shared" si="12"/>
        <v>0</v>
      </c>
    </row>
    <row r="36" spans="1:23" ht="12.75">
      <c r="A36" s="54" t="s">
        <v>238</v>
      </c>
      <c r="B36" s="39">
        <v>509</v>
      </c>
      <c r="C36" s="69">
        <f>B36/$B$37</f>
        <v>0.5049603174603174</v>
      </c>
      <c r="D36" s="39"/>
      <c r="E36" s="39"/>
      <c r="F36" s="59">
        <f>$C36*$F$13</f>
        <v>46.34375232285514</v>
      </c>
      <c r="G36" s="87">
        <f>$C36*$G$13</f>
        <v>78.21188933427224</v>
      </c>
      <c r="I36" s="73" t="s">
        <v>229</v>
      </c>
      <c r="J36">
        <v>5.923</v>
      </c>
      <c r="K36" s="39">
        <v>10</v>
      </c>
      <c r="L36" s="39"/>
      <c r="M36" s="39">
        <v>175</v>
      </c>
      <c r="N36" s="69">
        <f t="shared" si="5"/>
        <v>0.0047034066544905904</v>
      </c>
      <c r="O36" s="69">
        <f t="shared" si="6"/>
        <v>0.058823529411764705</v>
      </c>
      <c r="P36" s="69">
        <f t="shared" si="7"/>
        <v>0</v>
      </c>
      <c r="Q36" s="69">
        <f t="shared" si="8"/>
        <v>0.14250814332247558</v>
      </c>
      <c r="R36" s="83">
        <f t="shared" si="9"/>
        <v>0.14898820807552163</v>
      </c>
      <c r="S36" s="83">
        <f t="shared" si="10"/>
        <v>0.32626014786222857</v>
      </c>
      <c r="T36" s="83">
        <f t="shared" si="11"/>
        <v>0</v>
      </c>
      <c r="U36" s="83">
        <f t="shared" si="11"/>
        <v>0</v>
      </c>
      <c r="V36" s="83">
        <f t="shared" si="12"/>
        <v>1.2195588609527692</v>
      </c>
      <c r="W36" s="84">
        <f t="shared" si="12"/>
        <v>2.6538878257328995</v>
      </c>
    </row>
    <row r="37" spans="1:23" ht="12.75">
      <c r="A37" s="63" t="s">
        <v>249</v>
      </c>
      <c r="B37" s="64">
        <v>1008</v>
      </c>
      <c r="C37" s="74">
        <f>B37/$B$37</f>
        <v>1</v>
      </c>
      <c r="D37" s="64"/>
      <c r="E37" s="64"/>
      <c r="F37" s="75">
        <f>$C37*$F$13</f>
        <v>91.77701835253042</v>
      </c>
      <c r="G37" s="76">
        <f>$C37*$G$13</f>
        <v>154.88719931030732</v>
      </c>
      <c r="I37" s="73" t="s">
        <v>231</v>
      </c>
      <c r="J37">
        <v>66.878</v>
      </c>
      <c r="K37" s="39">
        <v>60</v>
      </c>
      <c r="L37" s="39"/>
      <c r="M37" s="39">
        <v>375</v>
      </c>
      <c r="N37" s="69">
        <f t="shared" si="5"/>
        <v>0.05310728182323513</v>
      </c>
      <c r="O37" s="69">
        <f t="shared" si="6"/>
        <v>0.35294117647058826</v>
      </c>
      <c r="P37" s="69">
        <f t="shared" si="7"/>
        <v>0</v>
      </c>
      <c r="Q37" s="69">
        <f t="shared" si="8"/>
        <v>0.30537459283387625</v>
      </c>
      <c r="R37" s="83">
        <f t="shared" si="9"/>
        <v>1.0464448949356997</v>
      </c>
      <c r="S37" s="83">
        <f t="shared" si="10"/>
        <v>2.2915455562653277</v>
      </c>
      <c r="T37" s="83">
        <f t="shared" si="11"/>
        <v>0</v>
      </c>
      <c r="U37" s="83">
        <f t="shared" si="11"/>
        <v>0</v>
      </c>
      <c r="V37" s="83">
        <f t="shared" si="12"/>
        <v>2.613340416327363</v>
      </c>
      <c r="W37" s="84">
        <f t="shared" si="12"/>
        <v>5.686902483713356</v>
      </c>
    </row>
    <row r="38" spans="9:23" ht="12.75">
      <c r="I38" s="73" t="s">
        <v>248</v>
      </c>
      <c r="J38" s="58"/>
      <c r="K38" s="39"/>
      <c r="L38" s="39"/>
      <c r="M38" s="39">
        <v>60</v>
      </c>
      <c r="N38" s="69">
        <f t="shared" si="5"/>
        <v>0</v>
      </c>
      <c r="O38" s="69">
        <f t="shared" si="6"/>
        <v>0</v>
      </c>
      <c r="P38" s="69">
        <f t="shared" si="7"/>
        <v>0</v>
      </c>
      <c r="Q38" s="69">
        <f t="shared" si="8"/>
        <v>0.048859934853420196</v>
      </c>
      <c r="R38" s="83">
        <f t="shared" si="9"/>
        <v>0</v>
      </c>
      <c r="S38" s="83">
        <f t="shared" si="10"/>
        <v>0</v>
      </c>
      <c r="T38" s="83">
        <f t="shared" si="11"/>
        <v>0</v>
      </c>
      <c r="U38" s="83">
        <f t="shared" si="11"/>
        <v>0</v>
      </c>
      <c r="V38" s="83">
        <f t="shared" si="12"/>
        <v>0.41813446661237796</v>
      </c>
      <c r="W38" s="84">
        <f t="shared" si="12"/>
        <v>0.9099043973941369</v>
      </c>
    </row>
    <row r="39" spans="1:23" ht="12.75">
      <c r="A39" s="50" t="s">
        <v>251</v>
      </c>
      <c r="B39" s="51"/>
      <c r="C39" s="51"/>
      <c r="D39" s="51"/>
      <c r="E39" s="52"/>
      <c r="F39" s="39"/>
      <c r="G39" s="39"/>
      <c r="I39" s="73" t="s">
        <v>250</v>
      </c>
      <c r="J39">
        <v>157.863</v>
      </c>
      <c r="K39" s="39"/>
      <c r="L39" s="39">
        <v>10</v>
      </c>
      <c r="M39" s="39"/>
      <c r="N39" s="69">
        <f t="shared" si="5"/>
        <v>0.12535773842610975</v>
      </c>
      <c r="O39" s="69">
        <f t="shared" si="6"/>
        <v>0</v>
      </c>
      <c r="P39" s="69">
        <f t="shared" si="7"/>
        <v>0.125</v>
      </c>
      <c r="Q39" s="69">
        <f t="shared" si="8"/>
        <v>0</v>
      </c>
      <c r="R39" s="83">
        <f t="shared" si="9"/>
        <v>0.7682379547121219</v>
      </c>
      <c r="S39" s="83">
        <f t="shared" si="10"/>
        <v>1.682317224532975</v>
      </c>
      <c r="T39" s="83">
        <f t="shared" si="11"/>
        <v>1.0155375</v>
      </c>
      <c r="U39" s="83">
        <f t="shared" si="11"/>
        <v>2.0609437500000003</v>
      </c>
      <c r="V39" s="83">
        <f t="shared" si="12"/>
        <v>0</v>
      </c>
      <c r="W39" s="84">
        <f t="shared" si="12"/>
        <v>0</v>
      </c>
    </row>
    <row r="40" spans="2:23" ht="12.75">
      <c r="B40" t="s">
        <v>353</v>
      </c>
      <c r="E40" s="55"/>
      <c r="F40" s="39"/>
      <c r="G40" s="39"/>
      <c r="I40" s="73" t="s">
        <v>233</v>
      </c>
      <c r="J40">
        <v>463.12</v>
      </c>
      <c r="K40" s="39">
        <v>60</v>
      </c>
      <c r="L40" s="39">
        <v>60</v>
      </c>
      <c r="M40" s="39">
        <v>10</v>
      </c>
      <c r="N40" s="69">
        <f t="shared" si="5"/>
        <v>0.36775986659255144</v>
      </c>
      <c r="O40" s="69">
        <f t="shared" si="6"/>
        <v>0.35294117647058826</v>
      </c>
      <c r="P40" s="69">
        <f t="shared" si="7"/>
        <v>0.75</v>
      </c>
      <c r="Q40" s="69">
        <f t="shared" si="8"/>
        <v>0.008143322475570033</v>
      </c>
      <c r="R40" s="83">
        <f t="shared" si="9"/>
        <v>2.9747507275313083</v>
      </c>
      <c r="S40" s="83">
        <f t="shared" si="10"/>
        <v>6.514224345363439</v>
      </c>
      <c r="T40" s="83">
        <f t="shared" si="11"/>
        <v>6.093225</v>
      </c>
      <c r="U40" s="83">
        <f t="shared" si="11"/>
        <v>12.365662500000003</v>
      </c>
      <c r="V40" s="83">
        <f t="shared" si="12"/>
        <v>0.06968907776872967</v>
      </c>
      <c r="W40" s="84">
        <f t="shared" si="12"/>
        <v>0.1516507328990228</v>
      </c>
    </row>
    <row r="41" spans="2:23" ht="12.75">
      <c r="B41" s="39" t="s">
        <v>335</v>
      </c>
      <c r="C41" s="39" t="s">
        <v>351</v>
      </c>
      <c r="D41" s="39" t="s">
        <v>352</v>
      </c>
      <c r="E41" s="55"/>
      <c r="F41" s="70"/>
      <c r="G41" s="70"/>
      <c r="I41" s="73" t="s">
        <v>252</v>
      </c>
      <c r="J41">
        <v>0.75</v>
      </c>
      <c r="K41" s="39"/>
      <c r="L41" s="39"/>
      <c r="M41" s="39">
        <v>10</v>
      </c>
      <c r="N41" s="69">
        <f t="shared" si="5"/>
        <v>0.0005955689668863654</v>
      </c>
      <c r="O41" s="69">
        <f t="shared" si="6"/>
        <v>0</v>
      </c>
      <c r="P41" s="69">
        <f t="shared" si="7"/>
        <v>0</v>
      </c>
      <c r="Q41" s="69">
        <f t="shared" si="8"/>
        <v>0.008143322475570033</v>
      </c>
      <c r="R41" s="83">
        <f t="shared" si="9"/>
        <v>0.0036498639075279913</v>
      </c>
      <c r="S41" s="83">
        <f t="shared" si="10"/>
        <v>0.007992613331811324</v>
      </c>
      <c r="T41" s="83">
        <f t="shared" si="11"/>
        <v>0</v>
      </c>
      <c r="U41" s="83">
        <f t="shared" si="11"/>
        <v>0</v>
      </c>
      <c r="V41" s="83">
        <f t="shared" si="12"/>
        <v>0.06968907776872967</v>
      </c>
      <c r="W41" s="84">
        <f t="shared" si="12"/>
        <v>0.1516507328990228</v>
      </c>
    </row>
    <row r="42" spans="1:23" ht="12.75">
      <c r="A42" s="54" t="s">
        <v>226</v>
      </c>
      <c r="B42" s="39">
        <f>(0.0078+0.0078+0.0078+0.075+0.99*(0.0078+0.0078))*(1-0.85)</f>
        <v>0.0170766</v>
      </c>
      <c r="C42" s="77">
        <f>(0.0025*7+0.075+0.067*0.5+0.36*0.5)*(1-0.85)</f>
        <v>0.0459</v>
      </c>
      <c r="D42" s="61">
        <f>(0.0078*5+0.075*0.25+0.012*0.5+70*0.5*0.02)*(1-0.85)</f>
        <v>0.11456250000000003</v>
      </c>
      <c r="E42" s="71"/>
      <c r="F42" s="39"/>
      <c r="G42" s="39"/>
      <c r="I42" s="73" t="s">
        <v>235</v>
      </c>
      <c r="J42">
        <v>198.244</v>
      </c>
      <c r="K42" s="39">
        <v>10</v>
      </c>
      <c r="L42" s="39"/>
      <c r="M42" s="39">
        <v>60</v>
      </c>
      <c r="N42" s="69">
        <f t="shared" si="5"/>
        <v>0.1574239656952275</v>
      </c>
      <c r="O42" s="69">
        <f t="shared" si="6"/>
        <v>0.058823529411764705</v>
      </c>
      <c r="P42" s="69">
        <f t="shared" si="7"/>
        <v>0</v>
      </c>
      <c r="Q42" s="69">
        <f t="shared" si="8"/>
        <v>0.048859934853420196</v>
      </c>
      <c r="R42" s="83">
        <f t="shared" si="9"/>
        <v>1.0849155101551096</v>
      </c>
      <c r="S42" s="83">
        <f t="shared" si="10"/>
        <v>2.375789999311943</v>
      </c>
      <c r="T42" s="83">
        <f t="shared" si="11"/>
        <v>0</v>
      </c>
      <c r="U42" s="83">
        <f t="shared" si="11"/>
        <v>0</v>
      </c>
      <c r="V42" s="83">
        <f t="shared" si="12"/>
        <v>0.41813446661237796</v>
      </c>
      <c r="W42" s="84">
        <f t="shared" si="12"/>
        <v>0.9099043973941369</v>
      </c>
    </row>
    <row r="43" spans="1:23" ht="12.75">
      <c r="A43" s="54" t="s">
        <v>227</v>
      </c>
      <c r="B43" s="39">
        <f>(0.035+0.035+0.035+0.075+0.99*(0.035+0.035))*(1-0.85)</f>
        <v>0.037395000000000005</v>
      </c>
      <c r="C43" s="39">
        <f>(0.017*7+0.075+0.067+0.36)*(1-0.85)</f>
        <v>0.09315000000000001</v>
      </c>
      <c r="D43" s="61">
        <f>(0.035*5+0.075+0.012+70*0.02)*(1-0.85)</f>
        <v>0.24930000000000005</v>
      </c>
      <c r="E43" s="55"/>
      <c r="F43" s="39"/>
      <c r="G43" s="39"/>
      <c r="I43" s="73" t="s">
        <v>237</v>
      </c>
      <c r="J43">
        <v>62.1</v>
      </c>
      <c r="K43" s="39">
        <v>10</v>
      </c>
      <c r="L43" s="39"/>
      <c r="M43" s="39"/>
      <c r="N43" s="69">
        <f t="shared" si="5"/>
        <v>0.04931311045819106</v>
      </c>
      <c r="O43" s="69">
        <f t="shared" si="6"/>
        <v>0.058823529411764705</v>
      </c>
      <c r="P43" s="69">
        <f t="shared" si="7"/>
        <v>0</v>
      </c>
      <c r="Q43" s="69">
        <f t="shared" si="8"/>
        <v>0</v>
      </c>
      <c r="R43" s="83">
        <f t="shared" si="9"/>
        <v>0.4223727477197883</v>
      </c>
      <c r="S43" s="83">
        <f t="shared" si="10"/>
        <v>0.9249282000504483</v>
      </c>
      <c r="T43" s="83">
        <f t="shared" si="11"/>
        <v>0</v>
      </c>
      <c r="U43" s="83">
        <f t="shared" si="11"/>
        <v>0</v>
      </c>
      <c r="V43" s="83">
        <f t="shared" si="12"/>
        <v>0</v>
      </c>
      <c r="W43" s="84">
        <f t="shared" si="12"/>
        <v>0</v>
      </c>
    </row>
    <row r="44" spans="1:23" ht="12.75">
      <c r="A44" s="54"/>
      <c r="B44" s="39" t="s">
        <v>254</v>
      </c>
      <c r="C44" s="39" t="s">
        <v>255</v>
      </c>
      <c r="D44" s="39" t="s">
        <v>256</v>
      </c>
      <c r="E44" s="55"/>
      <c r="F44" s="39"/>
      <c r="G44" s="39"/>
      <c r="I44" s="73" t="s">
        <v>253</v>
      </c>
      <c r="J44">
        <v>8.76</v>
      </c>
      <c r="K44" s="39"/>
      <c r="L44" s="39">
        <v>10</v>
      </c>
      <c r="M44" s="39"/>
      <c r="N44" s="69">
        <f t="shared" si="5"/>
        <v>0.0069562455332327485</v>
      </c>
      <c r="O44" s="69">
        <f t="shared" si="6"/>
        <v>0</v>
      </c>
      <c r="P44" s="69">
        <f t="shared" si="7"/>
        <v>0.125</v>
      </c>
      <c r="Q44" s="69">
        <f t="shared" si="8"/>
        <v>0</v>
      </c>
      <c r="R44" s="83">
        <f t="shared" si="9"/>
        <v>0.04263041043992694</v>
      </c>
      <c r="S44" s="83">
        <f t="shared" si="10"/>
        <v>0.09335372371555627</v>
      </c>
      <c r="T44" s="83">
        <f t="shared" si="11"/>
        <v>1.0155375</v>
      </c>
      <c r="U44" s="83">
        <f t="shared" si="11"/>
        <v>2.0609437500000003</v>
      </c>
      <c r="V44" s="83">
        <f t="shared" si="12"/>
        <v>0</v>
      </c>
      <c r="W44" s="84">
        <f t="shared" si="12"/>
        <v>0</v>
      </c>
    </row>
    <row r="45" spans="1:23" ht="12.75">
      <c r="A45" s="54" t="s">
        <v>25</v>
      </c>
      <c r="B45" s="39">
        <f>+(600000*1.18+300000*0.83)</f>
        <v>957000</v>
      </c>
      <c r="C45" s="39">
        <f>600000*1.18*0.5</f>
        <v>354000</v>
      </c>
      <c r="D45" s="39">
        <f>0.6*300000*0.83</f>
        <v>149400</v>
      </c>
      <c r="E45" s="55"/>
      <c r="F45" s="39"/>
      <c r="G45" s="39"/>
      <c r="I45" s="73" t="s">
        <v>238</v>
      </c>
      <c r="J45">
        <v>263.982</v>
      </c>
      <c r="K45" s="39">
        <v>10</v>
      </c>
      <c r="L45" s="39"/>
      <c r="M45" s="39">
        <v>538</v>
      </c>
      <c r="N45" s="69">
        <f t="shared" si="5"/>
        <v>0.2096259826887954</v>
      </c>
      <c r="O45" s="69">
        <f t="shared" si="6"/>
        <v>0.058823529411764705</v>
      </c>
      <c r="P45" s="69">
        <f t="shared" si="7"/>
        <v>0</v>
      </c>
      <c r="Q45" s="69">
        <f t="shared" si="8"/>
        <v>0.4381107491856677</v>
      </c>
      <c r="R45" s="83">
        <f t="shared" si="9"/>
        <v>1.4048285148925432</v>
      </c>
      <c r="S45" s="83">
        <f t="shared" si="10"/>
        <v>3.076347886254094</v>
      </c>
      <c r="T45" s="83">
        <f t="shared" si="11"/>
        <v>0</v>
      </c>
      <c r="U45" s="83">
        <f t="shared" si="11"/>
        <v>0</v>
      </c>
      <c r="V45" s="83">
        <f t="shared" si="12"/>
        <v>3.749272383957656</v>
      </c>
      <c r="W45" s="84">
        <f t="shared" si="12"/>
        <v>8.158809429967427</v>
      </c>
    </row>
    <row r="46" spans="1:23" ht="12.75">
      <c r="A46" s="54"/>
      <c r="B46" s="39" t="s">
        <v>350</v>
      </c>
      <c r="C46" s="39" t="s">
        <v>350</v>
      </c>
      <c r="D46" s="39" t="s">
        <v>350</v>
      </c>
      <c r="E46" s="55"/>
      <c r="F46" s="39"/>
      <c r="G46" s="39"/>
      <c r="I46" s="73" t="s">
        <v>239</v>
      </c>
      <c r="J46">
        <v>29.965</v>
      </c>
      <c r="K46" s="39">
        <v>10</v>
      </c>
      <c r="L46" s="39"/>
      <c r="M46" s="39"/>
      <c r="N46" s="69">
        <f t="shared" si="5"/>
        <v>0.023794965456999922</v>
      </c>
      <c r="O46" s="69">
        <f t="shared" si="6"/>
        <v>0.058823529411764705</v>
      </c>
      <c r="P46" s="69">
        <f t="shared" si="7"/>
        <v>0</v>
      </c>
      <c r="Q46" s="69">
        <f t="shared" si="8"/>
        <v>0</v>
      </c>
      <c r="R46" s="83">
        <f t="shared" si="9"/>
        <v>0.265988245495239</v>
      </c>
      <c r="S46" s="83">
        <f t="shared" si="10"/>
        <v>0.5824713608267724</v>
      </c>
      <c r="T46" s="83">
        <f t="shared" si="11"/>
        <v>0</v>
      </c>
      <c r="U46" s="83">
        <f t="shared" si="11"/>
        <v>0</v>
      </c>
      <c r="V46" s="83">
        <f t="shared" si="12"/>
        <v>0</v>
      </c>
      <c r="W46" s="84">
        <f t="shared" si="12"/>
        <v>0</v>
      </c>
    </row>
    <row r="47" spans="1:23" ht="12.75">
      <c r="A47" s="54" t="s">
        <v>226</v>
      </c>
      <c r="B47" s="39">
        <f>$B$45*B42/2000</f>
        <v>8.1711531</v>
      </c>
      <c r="C47" s="39">
        <f>C$45*C42/2000</f>
        <v>8.1243</v>
      </c>
      <c r="D47" s="39">
        <f>D$45*D42/2000</f>
        <v>8.557818750000003</v>
      </c>
      <c r="E47" s="55"/>
      <c r="F47" s="39"/>
      <c r="G47" s="39"/>
      <c r="I47" s="78" t="s">
        <v>249</v>
      </c>
      <c r="J47" s="93"/>
      <c r="K47" s="64"/>
      <c r="L47" s="64"/>
      <c r="M47" s="64"/>
      <c r="N47" s="79">
        <f>SUM(N35:N46)</f>
        <v>1.0000000000000002</v>
      </c>
      <c r="O47" s="79">
        <f>SUM(O35:O46)</f>
        <v>1</v>
      </c>
      <c r="P47" s="79">
        <f>SUM(P35:P46)</f>
        <v>1</v>
      </c>
      <c r="Q47" s="79">
        <f>SUM(Q35:Q46)</f>
        <v>1</v>
      </c>
      <c r="R47" s="75">
        <f>B47</f>
        <v>8.1711531</v>
      </c>
      <c r="S47" s="75">
        <f>B48</f>
        <v>17.893507500000002</v>
      </c>
      <c r="T47" s="75">
        <f>C47</f>
        <v>8.1243</v>
      </c>
      <c r="U47" s="75">
        <f>C48</f>
        <v>16.487550000000002</v>
      </c>
      <c r="V47" s="75">
        <f>D47</f>
        <v>8.557818750000003</v>
      </c>
      <c r="W47" s="76">
        <f>D48</f>
        <v>18.62271</v>
      </c>
    </row>
    <row r="48" spans="1:23" ht="12.75">
      <c r="A48" s="63" t="s">
        <v>227</v>
      </c>
      <c r="B48" s="64">
        <f>$B$45*B43/2000</f>
        <v>17.893507500000002</v>
      </c>
      <c r="C48" s="64">
        <f>C$45*C43/2000</f>
        <v>16.487550000000002</v>
      </c>
      <c r="D48" s="64">
        <f>D$45*D43/2000</f>
        <v>18.62271</v>
      </c>
      <c r="E48" s="65"/>
      <c r="F48" s="39"/>
      <c r="G48" s="39"/>
      <c r="I48" s="58"/>
      <c r="J48" s="58"/>
      <c r="K48" s="39"/>
      <c r="L48" s="39"/>
      <c r="M48" s="39"/>
      <c r="N48" s="92"/>
      <c r="O48" s="92"/>
      <c r="P48" s="92"/>
      <c r="Q48" s="92"/>
      <c r="R48" s="70"/>
      <c r="S48" s="70"/>
      <c r="T48" s="70"/>
      <c r="U48" s="70"/>
      <c r="V48" s="70"/>
      <c r="W48" s="70"/>
    </row>
    <row r="49" spans="1:23" ht="12.75">
      <c r="A49" s="39"/>
      <c r="B49" s="39"/>
      <c r="C49" s="39"/>
      <c r="D49" s="39"/>
      <c r="E49" s="39"/>
      <c r="F49" s="39"/>
      <c r="G49" s="39"/>
      <c r="I49" s="58"/>
      <c r="J49" s="58"/>
      <c r="K49" s="39"/>
      <c r="L49" s="39"/>
      <c r="M49" s="39"/>
      <c r="N49" s="92"/>
      <c r="O49" s="92"/>
      <c r="P49" s="92"/>
      <c r="Q49" s="92"/>
      <c r="R49" s="70"/>
      <c r="S49" s="70"/>
      <c r="T49" s="70"/>
      <c r="U49" s="70"/>
      <c r="V49" s="70"/>
      <c r="W49" s="70"/>
    </row>
    <row r="52" spans="1:17" ht="12.75">
      <c r="A52" s="50" t="s">
        <v>257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</row>
    <row r="53" spans="1:17" ht="12.75">
      <c r="A53" s="54" t="s">
        <v>258</v>
      </c>
      <c r="B53" s="80" t="s">
        <v>259</v>
      </c>
      <c r="C53" s="39"/>
      <c r="D53" s="39"/>
      <c r="E53" s="39"/>
      <c r="F53" s="80" t="s">
        <v>260</v>
      </c>
      <c r="G53" s="39"/>
      <c r="H53" s="39"/>
      <c r="I53" s="39"/>
      <c r="J53" s="39" t="s">
        <v>261</v>
      </c>
      <c r="K53" s="39"/>
      <c r="L53" s="39"/>
      <c r="M53" s="39"/>
      <c r="N53" s="39" t="s">
        <v>262</v>
      </c>
      <c r="O53" s="39"/>
      <c r="P53" s="39"/>
      <c r="Q53" s="55"/>
    </row>
    <row r="54" spans="1:17" ht="12.75">
      <c r="A54" s="54"/>
      <c r="B54" s="39" t="s">
        <v>263</v>
      </c>
      <c r="C54" s="39" t="s">
        <v>243</v>
      </c>
      <c r="D54" s="39" t="s">
        <v>226</v>
      </c>
      <c r="E54" s="62" t="s">
        <v>227</v>
      </c>
      <c r="F54" s="39"/>
      <c r="G54" s="39"/>
      <c r="H54" s="39" t="s">
        <v>226</v>
      </c>
      <c r="I54" s="62" t="s">
        <v>227</v>
      </c>
      <c r="J54" s="39"/>
      <c r="K54" s="39"/>
      <c r="L54" s="39" t="s">
        <v>226</v>
      </c>
      <c r="M54" s="62" t="s">
        <v>227</v>
      </c>
      <c r="N54" s="39"/>
      <c r="O54" s="39"/>
      <c r="P54" s="39" t="s">
        <v>226</v>
      </c>
      <c r="Q54" s="105" t="s">
        <v>227</v>
      </c>
    </row>
    <row r="55" spans="1:17" ht="12.75">
      <c r="A55" s="54" t="s">
        <v>264</v>
      </c>
      <c r="B55" s="81">
        <v>0</v>
      </c>
      <c r="C55" s="82">
        <f aca="true" t="shared" si="13" ref="C55:C75">B55/B$75</f>
        <v>0</v>
      </c>
      <c r="D55" s="83">
        <f>$C55*D$75</f>
        <v>0</v>
      </c>
      <c r="E55" s="83">
        <f>C55*E75</f>
        <v>0</v>
      </c>
      <c r="F55" s="81">
        <v>0</v>
      </c>
      <c r="G55" s="82">
        <f aca="true" t="shared" si="14" ref="G55:G75">F55/F$75</f>
        <v>0</v>
      </c>
      <c r="H55" s="83">
        <f aca="true" t="shared" si="15" ref="H55:H74">G55*H$75</f>
        <v>0</v>
      </c>
      <c r="I55" s="83">
        <f>G55*I75</f>
        <v>0</v>
      </c>
      <c r="J55" s="81">
        <v>0</v>
      </c>
      <c r="K55" s="82">
        <f aca="true" t="shared" si="16" ref="K55:K75">J55/J$75</f>
        <v>0</v>
      </c>
      <c r="L55" s="83">
        <f aca="true" t="shared" si="17" ref="L55:L74">K55*L$75</f>
        <v>0</v>
      </c>
      <c r="M55" s="83">
        <f>K55*M75</f>
        <v>0</v>
      </c>
      <c r="N55" s="81">
        <v>382</v>
      </c>
      <c r="O55" s="82">
        <f aca="true" t="shared" si="18" ref="O55:O75">N55/N$75</f>
        <v>0.003043073025786459</v>
      </c>
      <c r="P55" s="83">
        <f aca="true" t="shared" si="19" ref="P55:P74">O55*P$75</f>
        <v>0.04153108942125</v>
      </c>
      <c r="Q55" s="84">
        <f>O55*Q75</f>
        <v>0.048393322380000006</v>
      </c>
    </row>
    <row r="56" spans="1:17" ht="12.75">
      <c r="A56" s="54" t="s">
        <v>265</v>
      </c>
      <c r="B56" s="81">
        <v>22696</v>
      </c>
      <c r="C56" s="82">
        <f t="shared" si="13"/>
        <v>0.3961806343498525</v>
      </c>
      <c r="D56" s="83">
        <f aca="true" t="shared" si="20" ref="D56:D74">C56*D$75</f>
        <v>2.24850211047</v>
      </c>
      <c r="E56" s="83">
        <f>C56*E75</f>
        <v>2.62002487824</v>
      </c>
      <c r="F56" s="81">
        <v>530</v>
      </c>
      <c r="G56" s="82">
        <f t="shared" si="14"/>
        <v>0.35642232683254876</v>
      </c>
      <c r="H56" s="83">
        <f t="shared" si="15"/>
        <v>0.05994997056000001</v>
      </c>
      <c r="I56" s="83">
        <f>G56*I75</f>
        <v>0.06734656152</v>
      </c>
      <c r="J56" s="81">
        <v>0</v>
      </c>
      <c r="K56" s="82">
        <f t="shared" si="16"/>
        <v>0</v>
      </c>
      <c r="L56" s="83">
        <f t="shared" si="17"/>
        <v>0</v>
      </c>
      <c r="M56" s="83">
        <f>K56*M75</f>
        <v>0</v>
      </c>
      <c r="N56" s="81">
        <v>32600</v>
      </c>
      <c r="O56" s="82">
        <f t="shared" si="18"/>
        <v>0.25969680795978684</v>
      </c>
      <c r="P56" s="83">
        <f t="shared" si="19"/>
        <v>3.5442762176250002</v>
      </c>
      <c r="Q56" s="84">
        <f>O56*Q75</f>
        <v>4.129901334</v>
      </c>
    </row>
    <row r="57" spans="1:17" ht="12.75">
      <c r="A57" s="54" t="s">
        <v>266</v>
      </c>
      <c r="B57" s="81">
        <v>0</v>
      </c>
      <c r="C57" s="82">
        <f t="shared" si="13"/>
        <v>0</v>
      </c>
      <c r="D57" s="83">
        <f t="shared" si="20"/>
        <v>0</v>
      </c>
      <c r="E57" s="83">
        <f>C57*E75</f>
        <v>0</v>
      </c>
      <c r="F57" s="81">
        <v>0</v>
      </c>
      <c r="G57" s="82">
        <f t="shared" si="14"/>
        <v>0</v>
      </c>
      <c r="H57" s="83">
        <f t="shared" si="15"/>
        <v>0</v>
      </c>
      <c r="I57" s="83">
        <f>G57*I75</f>
        <v>0</v>
      </c>
      <c r="J57" s="81">
        <v>0</v>
      </c>
      <c r="K57" s="82">
        <f t="shared" si="16"/>
        <v>0</v>
      </c>
      <c r="L57" s="83">
        <f t="shared" si="17"/>
        <v>0</v>
      </c>
      <c r="M57" s="83">
        <f>K57*M75</f>
        <v>0</v>
      </c>
      <c r="N57" s="81">
        <v>420</v>
      </c>
      <c r="O57" s="82">
        <f t="shared" si="18"/>
        <v>0.0033457870964144314</v>
      </c>
      <c r="P57" s="83">
        <f t="shared" si="19"/>
        <v>0.0456624543375</v>
      </c>
      <c r="Q57" s="84">
        <f>O57*Q75</f>
        <v>0.0532073178</v>
      </c>
    </row>
    <row r="58" spans="1:17" ht="12.75">
      <c r="A58" s="54" t="s">
        <v>267</v>
      </c>
      <c r="B58" s="81">
        <v>12125</v>
      </c>
      <c r="C58" s="82">
        <f t="shared" si="13"/>
        <v>0.21165360378445372</v>
      </c>
      <c r="D58" s="83">
        <f t="shared" si="20"/>
        <v>1.20122876671875</v>
      </c>
      <c r="E58" s="83">
        <f>C58*E75</f>
        <v>1.3997092725000002</v>
      </c>
      <c r="F58" s="81">
        <v>0</v>
      </c>
      <c r="G58" s="82">
        <f t="shared" si="14"/>
        <v>0</v>
      </c>
      <c r="H58" s="83">
        <f t="shared" si="15"/>
        <v>0</v>
      </c>
      <c r="I58" s="83">
        <f>G58*I75</f>
        <v>0</v>
      </c>
      <c r="J58" s="81">
        <v>0</v>
      </c>
      <c r="K58" s="82">
        <f t="shared" si="16"/>
        <v>0</v>
      </c>
      <c r="L58" s="83">
        <f t="shared" si="17"/>
        <v>0</v>
      </c>
      <c r="M58" s="83">
        <f>K58*M75</f>
        <v>0</v>
      </c>
      <c r="N58" s="81">
        <v>6357</v>
      </c>
      <c r="O58" s="82">
        <f t="shared" si="18"/>
        <v>0.05064087755215843</v>
      </c>
      <c r="P58" s="83">
        <f t="shared" si="19"/>
        <v>0.691133862436875</v>
      </c>
      <c r="Q58" s="84">
        <f>O58*Q75</f>
        <v>0.80533076013</v>
      </c>
    </row>
    <row r="59" spans="1:17" ht="12.75">
      <c r="A59" s="54" t="s">
        <v>268</v>
      </c>
      <c r="B59" s="81">
        <v>0</v>
      </c>
      <c r="C59" s="82">
        <f t="shared" si="13"/>
        <v>0</v>
      </c>
      <c r="D59" s="83">
        <f t="shared" si="20"/>
        <v>0</v>
      </c>
      <c r="E59" s="83">
        <f>C59*E75</f>
        <v>0</v>
      </c>
      <c r="F59" s="81">
        <v>0</v>
      </c>
      <c r="G59" s="82">
        <f t="shared" si="14"/>
        <v>0</v>
      </c>
      <c r="H59" s="83">
        <f t="shared" si="15"/>
        <v>0</v>
      </c>
      <c r="I59" s="83">
        <f>G59*I75</f>
        <v>0</v>
      </c>
      <c r="J59" s="81">
        <v>0</v>
      </c>
      <c r="K59" s="82">
        <f t="shared" si="16"/>
        <v>0</v>
      </c>
      <c r="L59" s="83">
        <f t="shared" si="17"/>
        <v>0</v>
      </c>
      <c r="M59" s="83">
        <f>K59*M75</f>
        <v>0</v>
      </c>
      <c r="N59" s="81">
        <v>132</v>
      </c>
      <c r="O59" s="82">
        <f t="shared" si="18"/>
        <v>0.0010515330874445357</v>
      </c>
      <c r="P59" s="83">
        <f t="shared" si="19"/>
        <v>0.014351057077500002</v>
      </c>
      <c r="Q59" s="84">
        <f>O59*Q75</f>
        <v>0.016722299880000003</v>
      </c>
    </row>
    <row r="60" spans="1:17" ht="12.75">
      <c r="A60" s="54" t="s">
        <v>269</v>
      </c>
      <c r="B60" s="81">
        <v>11073</v>
      </c>
      <c r="C60" s="82">
        <f t="shared" si="13"/>
        <v>0.19328992616125823</v>
      </c>
      <c r="D60" s="83">
        <f t="shared" si="20"/>
        <v>1.09700669145375</v>
      </c>
      <c r="E60" s="83">
        <f>C60*E75</f>
        <v>1.27826645562</v>
      </c>
      <c r="F60" s="81">
        <v>890</v>
      </c>
      <c r="G60" s="82">
        <f t="shared" si="14"/>
        <v>0.5985205110961668</v>
      </c>
      <c r="H60" s="83">
        <f t="shared" si="15"/>
        <v>0.10067070528000001</v>
      </c>
      <c r="I60" s="83">
        <f>G60*I75</f>
        <v>0.11309139576</v>
      </c>
      <c r="J60" s="81">
        <v>5251</v>
      </c>
      <c r="K60" s="82">
        <f t="shared" si="16"/>
        <v>0.9290516631280963</v>
      </c>
      <c r="L60" s="83">
        <f t="shared" si="17"/>
        <v>0.10650691910625001</v>
      </c>
      <c r="M60" s="83">
        <f>K60*M75</f>
        <v>0.12212611706250001</v>
      </c>
      <c r="N60" s="81">
        <v>8477</v>
      </c>
      <c r="O60" s="82">
        <f t="shared" si="18"/>
        <v>0.06752913622929795</v>
      </c>
      <c r="P60" s="83">
        <f t="shared" si="19"/>
        <v>0.921620536711875</v>
      </c>
      <c r="Q60" s="84">
        <f>O60*Q75</f>
        <v>1.0739010309300001</v>
      </c>
    </row>
    <row r="61" spans="1:17" ht="12.75">
      <c r="A61" s="54" t="s">
        <v>270</v>
      </c>
      <c r="B61" s="81">
        <v>0</v>
      </c>
      <c r="C61" s="82">
        <f t="shared" si="13"/>
        <v>0</v>
      </c>
      <c r="D61" s="83">
        <f t="shared" si="20"/>
        <v>0</v>
      </c>
      <c r="E61" s="83">
        <f>C61*E75</f>
        <v>0</v>
      </c>
      <c r="F61" s="81">
        <v>0</v>
      </c>
      <c r="G61" s="82">
        <f t="shared" si="14"/>
        <v>0</v>
      </c>
      <c r="H61" s="83">
        <f t="shared" si="15"/>
        <v>0</v>
      </c>
      <c r="I61" s="83">
        <f>G61*I75</f>
        <v>0</v>
      </c>
      <c r="J61" s="81">
        <v>0</v>
      </c>
      <c r="K61" s="82">
        <f t="shared" si="16"/>
        <v>0</v>
      </c>
      <c r="L61" s="83">
        <f t="shared" si="17"/>
        <v>0</v>
      </c>
      <c r="M61" s="83">
        <f>K61*M75</f>
        <v>0</v>
      </c>
      <c r="N61" s="81">
        <v>0</v>
      </c>
      <c r="O61" s="82">
        <f t="shared" si="18"/>
        <v>0</v>
      </c>
      <c r="P61" s="83">
        <f t="shared" si="19"/>
        <v>0</v>
      </c>
      <c r="Q61" s="84">
        <f>O61*Q75</f>
        <v>0</v>
      </c>
    </row>
    <row r="62" spans="1:17" ht="12.75">
      <c r="A62" s="54" t="s">
        <v>271</v>
      </c>
      <c r="B62" s="81">
        <v>0</v>
      </c>
      <c r="C62" s="82">
        <f t="shared" si="13"/>
        <v>0</v>
      </c>
      <c r="D62" s="83">
        <f t="shared" si="20"/>
        <v>0</v>
      </c>
      <c r="E62" s="83">
        <f>C62*E75</f>
        <v>0</v>
      </c>
      <c r="F62" s="81">
        <v>0</v>
      </c>
      <c r="G62" s="82">
        <f t="shared" si="14"/>
        <v>0</v>
      </c>
      <c r="H62" s="83">
        <f t="shared" si="15"/>
        <v>0</v>
      </c>
      <c r="I62" s="83">
        <f>G62*I75</f>
        <v>0</v>
      </c>
      <c r="J62" s="81">
        <v>0</v>
      </c>
      <c r="K62" s="82">
        <f t="shared" si="16"/>
        <v>0</v>
      </c>
      <c r="L62" s="83">
        <f t="shared" si="17"/>
        <v>0</v>
      </c>
      <c r="M62" s="83">
        <f>K62*M75</f>
        <v>0</v>
      </c>
      <c r="N62" s="81">
        <v>0</v>
      </c>
      <c r="O62" s="82">
        <f t="shared" si="18"/>
        <v>0</v>
      </c>
      <c r="P62" s="83">
        <f t="shared" si="19"/>
        <v>0</v>
      </c>
      <c r="Q62" s="84">
        <f>O62*Q75</f>
        <v>0</v>
      </c>
    </row>
    <row r="63" spans="1:17" ht="12.75">
      <c r="A63" s="54" t="s">
        <v>272</v>
      </c>
      <c r="B63" s="81">
        <v>0</v>
      </c>
      <c r="C63" s="82">
        <f t="shared" si="13"/>
        <v>0</v>
      </c>
      <c r="D63" s="83">
        <f t="shared" si="20"/>
        <v>0</v>
      </c>
      <c r="E63" s="83">
        <f>C63*E75</f>
        <v>0</v>
      </c>
      <c r="F63" s="81">
        <v>0</v>
      </c>
      <c r="G63" s="82">
        <f t="shared" si="14"/>
        <v>0</v>
      </c>
      <c r="H63" s="83">
        <f t="shared" si="15"/>
        <v>0</v>
      </c>
      <c r="I63" s="83">
        <f>G63*I75</f>
        <v>0</v>
      </c>
      <c r="J63" s="81">
        <v>0</v>
      </c>
      <c r="K63" s="82">
        <f t="shared" si="16"/>
        <v>0</v>
      </c>
      <c r="L63" s="83">
        <f t="shared" si="17"/>
        <v>0</v>
      </c>
      <c r="M63" s="83">
        <f>K63*M75</f>
        <v>0</v>
      </c>
      <c r="N63" s="81">
        <v>0</v>
      </c>
      <c r="O63" s="82">
        <f t="shared" si="18"/>
        <v>0</v>
      </c>
      <c r="P63" s="83">
        <f t="shared" si="19"/>
        <v>0</v>
      </c>
      <c r="Q63" s="84">
        <f>O63*Q75</f>
        <v>0</v>
      </c>
    </row>
    <row r="64" spans="1:17" ht="12.75">
      <c r="A64" s="54" t="s">
        <v>273</v>
      </c>
      <c r="B64" s="81">
        <v>0</v>
      </c>
      <c r="C64" s="82">
        <f t="shared" si="13"/>
        <v>0</v>
      </c>
      <c r="D64" s="83">
        <f t="shared" si="20"/>
        <v>0</v>
      </c>
      <c r="E64" s="83">
        <f>C64*E75</f>
        <v>0</v>
      </c>
      <c r="F64" s="81">
        <v>67</v>
      </c>
      <c r="G64" s="82">
        <f t="shared" si="14"/>
        <v>0.04505716207128446</v>
      </c>
      <c r="H64" s="83">
        <f t="shared" si="15"/>
        <v>0.007578581184</v>
      </c>
      <c r="I64" s="83">
        <f>G64*I75</f>
        <v>0.008513621928</v>
      </c>
      <c r="J64" s="81">
        <v>0</v>
      </c>
      <c r="K64" s="82">
        <f t="shared" si="16"/>
        <v>0</v>
      </c>
      <c r="L64" s="83">
        <f t="shared" si="17"/>
        <v>0</v>
      </c>
      <c r="M64" s="83">
        <f>K64*M75</f>
        <v>0</v>
      </c>
      <c r="N64" s="81">
        <v>1668</v>
      </c>
      <c r="O64" s="82">
        <f t="shared" si="18"/>
        <v>0.013287554468617313</v>
      </c>
      <c r="P64" s="83">
        <f t="shared" si="19"/>
        <v>0.1813451757975</v>
      </c>
      <c r="Q64" s="84">
        <f>O64*Q75</f>
        <v>0.21130906212</v>
      </c>
    </row>
    <row r="65" spans="1:17" ht="12.75">
      <c r="A65" s="54" t="s">
        <v>274</v>
      </c>
      <c r="B65" s="81">
        <v>0</v>
      </c>
      <c r="C65" s="82">
        <f t="shared" si="13"/>
        <v>0</v>
      </c>
      <c r="D65" s="83">
        <f t="shared" si="20"/>
        <v>0</v>
      </c>
      <c r="E65" s="83">
        <f>C65*E75</f>
        <v>0</v>
      </c>
      <c r="F65" s="81">
        <v>0</v>
      </c>
      <c r="G65" s="82">
        <f t="shared" si="14"/>
        <v>0</v>
      </c>
      <c r="H65" s="83">
        <f t="shared" si="15"/>
        <v>0</v>
      </c>
      <c r="I65" s="83">
        <f>G65*I75</f>
        <v>0</v>
      </c>
      <c r="J65" s="81">
        <v>0</v>
      </c>
      <c r="K65" s="82">
        <f t="shared" si="16"/>
        <v>0</v>
      </c>
      <c r="L65" s="83">
        <f t="shared" si="17"/>
        <v>0</v>
      </c>
      <c r="M65" s="83">
        <f>K65*M75</f>
        <v>0</v>
      </c>
      <c r="N65" s="81">
        <v>0</v>
      </c>
      <c r="O65" s="82">
        <f t="shared" si="18"/>
        <v>0</v>
      </c>
      <c r="P65" s="83">
        <f t="shared" si="19"/>
        <v>0</v>
      </c>
      <c r="Q65" s="84">
        <f>O65*Q75</f>
        <v>0</v>
      </c>
    </row>
    <row r="66" spans="1:17" ht="12.75">
      <c r="A66" s="54" t="s">
        <v>275</v>
      </c>
      <c r="B66" s="81">
        <v>0</v>
      </c>
      <c r="C66" s="82">
        <f t="shared" si="13"/>
        <v>0</v>
      </c>
      <c r="D66" s="83">
        <f t="shared" si="20"/>
        <v>0</v>
      </c>
      <c r="E66" s="83">
        <f>C66*E75</f>
        <v>0</v>
      </c>
      <c r="F66" s="81">
        <v>0</v>
      </c>
      <c r="G66" s="82">
        <f t="shared" si="14"/>
        <v>0</v>
      </c>
      <c r="H66" s="83">
        <f t="shared" si="15"/>
        <v>0</v>
      </c>
      <c r="I66" s="83">
        <f>G66*I75</f>
        <v>0</v>
      </c>
      <c r="J66" s="81">
        <v>0</v>
      </c>
      <c r="K66" s="82">
        <f t="shared" si="16"/>
        <v>0</v>
      </c>
      <c r="L66" s="83">
        <f t="shared" si="17"/>
        <v>0</v>
      </c>
      <c r="M66" s="83">
        <f>K66*M75</f>
        <v>0</v>
      </c>
      <c r="N66" s="81">
        <v>352</v>
      </c>
      <c r="O66" s="82">
        <f t="shared" si="18"/>
        <v>0.002804088233185428</v>
      </c>
      <c r="P66" s="83">
        <f t="shared" si="19"/>
        <v>0.03826948554</v>
      </c>
      <c r="Q66" s="84">
        <f>O66*Q75</f>
        <v>0.04459279968</v>
      </c>
    </row>
    <row r="67" spans="1:17" ht="12.75">
      <c r="A67" s="54" t="s">
        <v>276</v>
      </c>
      <c r="B67" s="81">
        <v>0</v>
      </c>
      <c r="C67" s="82">
        <f t="shared" si="13"/>
        <v>0</v>
      </c>
      <c r="D67" s="83">
        <f t="shared" si="20"/>
        <v>0</v>
      </c>
      <c r="E67" s="83">
        <f>C67*E75</f>
        <v>0</v>
      </c>
      <c r="F67" s="81">
        <v>0</v>
      </c>
      <c r="G67" s="82">
        <f t="shared" si="14"/>
        <v>0</v>
      </c>
      <c r="H67" s="83">
        <f t="shared" si="15"/>
        <v>0</v>
      </c>
      <c r="I67" s="83">
        <f>G67*I75</f>
        <v>0</v>
      </c>
      <c r="J67" s="81">
        <v>0</v>
      </c>
      <c r="K67" s="82">
        <f t="shared" si="16"/>
        <v>0</v>
      </c>
      <c r="L67" s="83">
        <f t="shared" si="17"/>
        <v>0</v>
      </c>
      <c r="M67" s="83">
        <f>K67*M75</f>
        <v>0</v>
      </c>
      <c r="N67" s="81">
        <v>962</v>
      </c>
      <c r="O67" s="82">
        <f t="shared" si="18"/>
        <v>0.007663445682739722</v>
      </c>
      <c r="P67" s="83">
        <f t="shared" si="19"/>
        <v>0.10458876445875001</v>
      </c>
      <c r="Q67" s="84">
        <f>O67*Q75</f>
        <v>0.12187009458000002</v>
      </c>
    </row>
    <row r="68" spans="1:17" ht="12.75">
      <c r="A68" s="54" t="s">
        <v>277</v>
      </c>
      <c r="B68" s="81">
        <v>0</v>
      </c>
      <c r="C68" s="82">
        <f t="shared" si="13"/>
        <v>0</v>
      </c>
      <c r="D68" s="83">
        <f t="shared" si="20"/>
        <v>0</v>
      </c>
      <c r="E68" s="83">
        <f>C68*E75</f>
        <v>0</v>
      </c>
      <c r="F68" s="81">
        <v>0</v>
      </c>
      <c r="G68" s="82">
        <f t="shared" si="14"/>
        <v>0</v>
      </c>
      <c r="H68" s="83">
        <f t="shared" si="15"/>
        <v>0</v>
      </c>
      <c r="I68" s="83">
        <f>G68*I75</f>
        <v>0</v>
      </c>
      <c r="J68" s="81">
        <v>0</v>
      </c>
      <c r="K68" s="82">
        <f t="shared" si="16"/>
        <v>0</v>
      </c>
      <c r="L68" s="83">
        <f t="shared" si="17"/>
        <v>0</v>
      </c>
      <c r="M68" s="83">
        <f>K68*M75</f>
        <v>0</v>
      </c>
      <c r="N68" s="81">
        <v>0</v>
      </c>
      <c r="O68" s="82">
        <f t="shared" si="18"/>
        <v>0</v>
      </c>
      <c r="P68" s="83">
        <f t="shared" si="19"/>
        <v>0</v>
      </c>
      <c r="Q68" s="84">
        <f>O68*Q75</f>
        <v>0</v>
      </c>
    </row>
    <row r="69" spans="1:17" ht="12.75">
      <c r="A69" s="54" t="s">
        <v>278</v>
      </c>
      <c r="B69" s="81">
        <v>609</v>
      </c>
      <c r="C69" s="82">
        <f t="shared" si="13"/>
        <v>0.010630684099359366</v>
      </c>
      <c r="D69" s="83">
        <f t="shared" si="20"/>
        <v>0.060333881973749996</v>
      </c>
      <c r="E69" s="83">
        <f>C69*E75</f>
        <v>0.07030292346</v>
      </c>
      <c r="F69" s="81">
        <v>0</v>
      </c>
      <c r="G69" s="82">
        <f t="shared" si="14"/>
        <v>0</v>
      </c>
      <c r="H69" s="83">
        <f t="shared" si="15"/>
        <v>0</v>
      </c>
      <c r="I69" s="83">
        <f>G69*I75</f>
        <v>0</v>
      </c>
      <c r="J69" s="81">
        <v>0</v>
      </c>
      <c r="K69" s="82">
        <f t="shared" si="16"/>
        <v>0</v>
      </c>
      <c r="L69" s="83">
        <f t="shared" si="17"/>
        <v>0</v>
      </c>
      <c r="M69" s="83">
        <f>K69*M75</f>
        <v>0</v>
      </c>
      <c r="N69" s="81">
        <v>4893</v>
      </c>
      <c r="O69" s="82">
        <f t="shared" si="18"/>
        <v>0.038978419673228126</v>
      </c>
      <c r="P69" s="83">
        <f t="shared" si="19"/>
        <v>0.531967593031875</v>
      </c>
      <c r="Q69" s="84">
        <f>O69*Q75</f>
        <v>0.61986525237</v>
      </c>
    </row>
    <row r="70" spans="1:17" ht="12.75">
      <c r="A70" s="54" t="s">
        <v>279</v>
      </c>
      <c r="B70" s="81">
        <v>3894</v>
      </c>
      <c r="C70" s="82">
        <f t="shared" si="13"/>
        <v>0.06797353675353919</v>
      </c>
      <c r="D70" s="83">
        <f t="shared" si="20"/>
        <v>0.38578019114249995</v>
      </c>
      <c r="E70" s="83">
        <f>C70*E75</f>
        <v>0.44952312635999997</v>
      </c>
      <c r="F70" s="81">
        <v>0</v>
      </c>
      <c r="G70" s="82">
        <f t="shared" si="14"/>
        <v>0</v>
      </c>
      <c r="H70" s="83">
        <f t="shared" si="15"/>
        <v>0</v>
      </c>
      <c r="I70" s="83">
        <f>G70*I75</f>
        <v>0</v>
      </c>
      <c r="J70" s="81">
        <v>0</v>
      </c>
      <c r="K70" s="82">
        <f t="shared" si="16"/>
        <v>0</v>
      </c>
      <c r="L70" s="83">
        <f t="shared" si="17"/>
        <v>0</v>
      </c>
      <c r="M70" s="83">
        <f>K70*M75</f>
        <v>0</v>
      </c>
      <c r="N70" s="81">
        <v>28448</v>
      </c>
      <c r="O70" s="82">
        <f t="shared" si="18"/>
        <v>0.22662131266380417</v>
      </c>
      <c r="P70" s="83">
        <f t="shared" si="19"/>
        <v>3.0928702404600004</v>
      </c>
      <c r="Q70" s="84">
        <f>O70*Q75</f>
        <v>3.6039089923200005</v>
      </c>
    </row>
    <row r="71" spans="1:17" ht="12.75">
      <c r="A71" s="54" t="s">
        <v>280</v>
      </c>
      <c r="B71" s="81">
        <v>2900</v>
      </c>
      <c r="C71" s="82">
        <f t="shared" si="13"/>
        <v>0.0506223052350446</v>
      </c>
      <c r="D71" s="83">
        <f t="shared" si="20"/>
        <v>0.287304199875</v>
      </c>
      <c r="E71" s="83">
        <f>C71*E75</f>
        <v>0.33477582600000005</v>
      </c>
      <c r="F71" s="81">
        <v>0</v>
      </c>
      <c r="G71" s="82">
        <f t="shared" si="14"/>
        <v>0</v>
      </c>
      <c r="H71" s="83">
        <f t="shared" si="15"/>
        <v>0</v>
      </c>
      <c r="I71" s="83">
        <f>G71*I75</f>
        <v>0</v>
      </c>
      <c r="J71" s="81">
        <v>401</v>
      </c>
      <c r="K71" s="82">
        <f t="shared" si="16"/>
        <v>0.07094833687190374</v>
      </c>
      <c r="L71" s="83">
        <f t="shared" si="17"/>
        <v>0.00813355066875</v>
      </c>
      <c r="M71" s="83">
        <f>K71*M75</f>
        <v>0.0093263326875</v>
      </c>
      <c r="N71" s="81">
        <v>16470</v>
      </c>
      <c r="O71" s="82">
        <f t="shared" si="18"/>
        <v>0.13120265113796592</v>
      </c>
      <c r="P71" s="83">
        <f t="shared" si="19"/>
        <v>1.79062053080625</v>
      </c>
      <c r="Q71" s="84">
        <f>O71*Q75</f>
        <v>2.0864869623</v>
      </c>
    </row>
    <row r="72" spans="1:17" ht="12.75">
      <c r="A72" s="54" t="s">
        <v>281</v>
      </c>
      <c r="B72" s="81">
        <v>0</v>
      </c>
      <c r="C72" s="82">
        <f t="shared" si="13"/>
        <v>0</v>
      </c>
      <c r="D72" s="83">
        <f t="shared" si="20"/>
        <v>0</v>
      </c>
      <c r="E72" s="83">
        <f>C72*E75</f>
        <v>0</v>
      </c>
      <c r="F72" s="81">
        <v>0</v>
      </c>
      <c r="G72" s="82">
        <f t="shared" si="14"/>
        <v>0</v>
      </c>
      <c r="H72" s="83">
        <f t="shared" si="15"/>
        <v>0</v>
      </c>
      <c r="I72" s="83">
        <f>G72*I75</f>
        <v>0</v>
      </c>
      <c r="J72" s="81">
        <v>0</v>
      </c>
      <c r="K72" s="82">
        <f t="shared" si="16"/>
        <v>0</v>
      </c>
      <c r="L72" s="83">
        <f t="shared" si="17"/>
        <v>0</v>
      </c>
      <c r="M72" s="83">
        <f>K72*M75</f>
        <v>0</v>
      </c>
      <c r="N72" s="81">
        <v>0</v>
      </c>
      <c r="O72" s="82">
        <f t="shared" si="18"/>
        <v>0</v>
      </c>
      <c r="P72" s="83">
        <f t="shared" si="19"/>
        <v>0</v>
      </c>
      <c r="Q72" s="84">
        <f>O72*Q75</f>
        <v>0</v>
      </c>
    </row>
    <row r="73" spans="1:17" ht="12.75">
      <c r="A73" s="54" t="s">
        <v>282</v>
      </c>
      <c r="B73" s="81">
        <v>3423</v>
      </c>
      <c r="C73" s="82">
        <f t="shared" si="13"/>
        <v>0.059751776144675056</v>
      </c>
      <c r="D73" s="83">
        <f t="shared" si="20"/>
        <v>0.33911802626625</v>
      </c>
      <c r="E73" s="83">
        <f>C73*E75</f>
        <v>0.39515091462</v>
      </c>
      <c r="F73" s="81">
        <v>0</v>
      </c>
      <c r="G73" s="82">
        <f t="shared" si="14"/>
        <v>0</v>
      </c>
      <c r="H73" s="83">
        <f t="shared" si="15"/>
        <v>0</v>
      </c>
      <c r="I73" s="83">
        <f>G73*I75</f>
        <v>0</v>
      </c>
      <c r="J73" s="81">
        <v>0</v>
      </c>
      <c r="K73" s="82">
        <f t="shared" si="16"/>
        <v>0</v>
      </c>
      <c r="L73" s="83">
        <f t="shared" si="17"/>
        <v>0</v>
      </c>
      <c r="M73" s="83">
        <f>K73*M75</f>
        <v>0</v>
      </c>
      <c r="N73" s="81">
        <v>11605</v>
      </c>
      <c r="O73" s="82">
        <f t="shared" si="18"/>
        <v>0.0924472839378321</v>
      </c>
      <c r="P73" s="83">
        <f t="shared" si="19"/>
        <v>1.2616971013968752</v>
      </c>
      <c r="Q73" s="84">
        <f>O73*Q75</f>
        <v>1.4701688644500002</v>
      </c>
    </row>
    <row r="74" spans="1:17" ht="12.75">
      <c r="A74" s="54" t="s">
        <v>283</v>
      </c>
      <c r="B74" s="81">
        <v>567</v>
      </c>
      <c r="C74" s="82">
        <f t="shared" si="13"/>
        <v>0.00989753347181734</v>
      </c>
      <c r="D74" s="83">
        <f t="shared" si="20"/>
        <v>0.05617292459625</v>
      </c>
      <c r="E74" s="83">
        <f>C74*E75</f>
        <v>0.06545444598</v>
      </c>
      <c r="F74" s="81">
        <v>0</v>
      </c>
      <c r="G74" s="82">
        <f t="shared" si="14"/>
        <v>0</v>
      </c>
      <c r="H74" s="83">
        <f t="shared" si="15"/>
        <v>0</v>
      </c>
      <c r="I74" s="83">
        <f>G74*I75</f>
        <v>0</v>
      </c>
      <c r="J74" s="81">
        <v>0</v>
      </c>
      <c r="K74" s="82">
        <f t="shared" si="16"/>
        <v>0</v>
      </c>
      <c r="L74" s="83">
        <f t="shared" si="17"/>
        <v>0</v>
      </c>
      <c r="M74" s="83">
        <f>K74*M75</f>
        <v>0</v>
      </c>
      <c r="N74" s="81">
        <v>12765</v>
      </c>
      <c r="O74" s="82">
        <f t="shared" si="18"/>
        <v>0.10168802925173862</v>
      </c>
      <c r="P74" s="83">
        <f t="shared" si="19"/>
        <v>1.387812451471875</v>
      </c>
      <c r="Q74" s="84">
        <f>O74*Q75</f>
        <v>1.6171224088500002</v>
      </c>
    </row>
    <row r="75" spans="1:17" ht="12.75">
      <c r="A75" s="63"/>
      <c r="B75" s="85">
        <f>SUM(B55:B74)</f>
        <v>57287</v>
      </c>
      <c r="C75" s="86">
        <f t="shared" si="13"/>
        <v>1</v>
      </c>
      <c r="D75" s="89">
        <f>I8</f>
        <v>5.67544679249625</v>
      </c>
      <c r="E75" s="89">
        <f>J8</f>
        <v>6.6132078427800005</v>
      </c>
      <c r="F75" s="85">
        <f>SUM(F55:F74)</f>
        <v>1487</v>
      </c>
      <c r="G75" s="86">
        <f t="shared" si="14"/>
        <v>1</v>
      </c>
      <c r="H75" s="88">
        <f>I9</f>
        <v>0.16819925702400002</v>
      </c>
      <c r="I75" s="88">
        <f>J9</f>
        <v>0.18895157920800001</v>
      </c>
      <c r="J75" s="85">
        <f>SUM(J55:J74)</f>
        <v>5652</v>
      </c>
      <c r="K75" s="86">
        <f t="shared" si="16"/>
        <v>1</v>
      </c>
      <c r="L75" s="88">
        <f>I10</f>
        <v>0.11464046977500002</v>
      </c>
      <c r="M75" s="88">
        <f>J10</f>
        <v>0.13145244975</v>
      </c>
      <c r="N75" s="85">
        <f>SUM(N55:N74)</f>
        <v>125531</v>
      </c>
      <c r="O75" s="86">
        <f t="shared" si="18"/>
        <v>1</v>
      </c>
      <c r="P75" s="89">
        <f>I7</f>
        <v>13.647746560573125</v>
      </c>
      <c r="Q75" s="90">
        <f>J7</f>
        <v>15.902780501790001</v>
      </c>
    </row>
    <row r="77" spans="1:13" ht="12.75">
      <c r="A77" s="50"/>
      <c r="B77" s="51" t="s">
        <v>284</v>
      </c>
      <c r="C77" s="51"/>
      <c r="D77" s="51"/>
      <c r="E77" s="51"/>
      <c r="F77" s="51"/>
      <c r="G77" s="51"/>
      <c r="H77" s="52"/>
      <c r="J77" s="50" t="s">
        <v>287</v>
      </c>
      <c r="K77" s="51"/>
      <c r="L77" s="51"/>
      <c r="M77" s="52"/>
    </row>
    <row r="78" spans="1:13" ht="12.75">
      <c r="A78" s="54"/>
      <c r="B78" s="39" t="s">
        <v>285</v>
      </c>
      <c r="C78" s="39" t="s">
        <v>205</v>
      </c>
      <c r="D78" s="39" t="s">
        <v>286</v>
      </c>
      <c r="E78" s="62" t="s">
        <v>205</v>
      </c>
      <c r="F78" s="39" t="s">
        <v>192</v>
      </c>
      <c r="G78" s="62" t="s">
        <v>205</v>
      </c>
      <c r="H78" s="55" t="s">
        <v>113</v>
      </c>
      <c r="I78" s="62" t="s">
        <v>338</v>
      </c>
      <c r="J78" s="54" t="s">
        <v>258</v>
      </c>
      <c r="K78" s="39" t="s">
        <v>288</v>
      </c>
      <c r="L78" s="39" t="s">
        <v>289</v>
      </c>
      <c r="M78" s="55"/>
    </row>
    <row r="79" spans="1:13" ht="12.75">
      <c r="A79" s="54" t="s">
        <v>264</v>
      </c>
      <c r="B79" s="39"/>
      <c r="C79" s="39"/>
      <c r="D79" s="83">
        <f>SUM(D55,H55,L55,P55)+SUM(R35,T35,V35)</f>
        <v>0.04987711155646401</v>
      </c>
      <c r="E79" s="83">
        <f>SUM(E55,I55,M55,Q55)+SUM(S35,U35,W35)</f>
        <v>0.06666976486540857</v>
      </c>
      <c r="F79" s="83">
        <f aca="true" t="shared" si="21" ref="F79:F98">B79+D79</f>
        <v>0.04987711155646401</v>
      </c>
      <c r="G79" s="83">
        <f aca="true" t="shared" si="22" ref="G79:G98">C79+E79</f>
        <v>0.06666976486540857</v>
      </c>
      <c r="H79" s="84">
        <v>0</v>
      </c>
      <c r="I79" s="109">
        <f>ROUND(F79/G79,4)</f>
        <v>0.7481</v>
      </c>
      <c r="J79" s="54" t="s">
        <v>275</v>
      </c>
      <c r="K79" s="39" t="s">
        <v>290</v>
      </c>
      <c r="L79" s="70">
        <v>1750</v>
      </c>
      <c r="M79" s="68">
        <f aca="true" t="shared" si="23" ref="M79:M84">L79/$L$84</f>
        <v>0.35066626590521993</v>
      </c>
    </row>
    <row r="80" spans="1:13" ht="12.75">
      <c r="A80" s="54" t="s">
        <v>265</v>
      </c>
      <c r="B80" s="39">
        <f>DisaggregatedBrewery!V4</f>
        <v>5.60634416988354</v>
      </c>
      <c r="C80" s="39">
        <f>DisaggregatedBrewery!W4</f>
        <v>11.369079817598212</v>
      </c>
      <c r="D80" s="83">
        <f>SUM(D56,H56,L56,P56)+F18+F33+SUM(R36,T36,V36)</f>
        <v>25.35980479683538</v>
      </c>
      <c r="E80" s="83">
        <f>SUM(E56,I56,M56,Q56)+G18+G33+SUM(S36,U36,W36)</f>
        <v>44.1163899481964</v>
      </c>
      <c r="F80" s="59">
        <f t="shared" si="21"/>
        <v>30.96614896671892</v>
      </c>
      <c r="G80" s="59">
        <f t="shared" si="22"/>
        <v>55.48546976579461</v>
      </c>
      <c r="H80" s="84">
        <f>DisaggregatedBrewery!U4</f>
        <v>10.315466710689824</v>
      </c>
      <c r="I80" s="109">
        <f aca="true" t="shared" si="24" ref="I80:I98">ROUND(F80/G80,4)</f>
        <v>0.5581</v>
      </c>
      <c r="J80" s="54" t="s">
        <v>282</v>
      </c>
      <c r="K80" s="39" t="s">
        <v>290</v>
      </c>
      <c r="L80" s="70">
        <v>375</v>
      </c>
      <c r="M80" s="68">
        <f t="shared" si="23"/>
        <v>0.07514277126540427</v>
      </c>
    </row>
    <row r="81" spans="1:13" ht="12.75">
      <c r="A81" s="54" t="s">
        <v>266</v>
      </c>
      <c r="B81" s="39">
        <f>DisaggregatedBrewery!V5</f>
        <v>1.9116187857196025</v>
      </c>
      <c r="C81" s="39">
        <f>DisaggregatedBrewery!W5</f>
        <v>3.8765630323615685</v>
      </c>
      <c r="D81" s="83">
        <f>SUM(D57,H57,L57,P57)</f>
        <v>0.0456624543375</v>
      </c>
      <c r="E81" s="83">
        <f>SUM(E57,I57,M57,Q57)</f>
        <v>0.0532073178</v>
      </c>
      <c r="F81" s="59">
        <f t="shared" si="21"/>
        <v>1.9572812400571025</v>
      </c>
      <c r="G81" s="59">
        <f t="shared" si="22"/>
        <v>3.9297703501615686</v>
      </c>
      <c r="H81" s="84">
        <f>DisaggregatedBrewery!U5</f>
        <v>3.517308133444381</v>
      </c>
      <c r="I81" s="109">
        <f t="shared" si="24"/>
        <v>0.4981</v>
      </c>
      <c r="J81" s="54" t="s">
        <v>269</v>
      </c>
      <c r="K81" s="39" t="s">
        <v>290</v>
      </c>
      <c r="L81" s="70">
        <v>175</v>
      </c>
      <c r="M81" s="68">
        <f t="shared" si="23"/>
        <v>0.03506662659052199</v>
      </c>
    </row>
    <row r="82" spans="1:13" ht="12.75">
      <c r="A82" s="54" t="s">
        <v>267</v>
      </c>
      <c r="B82" s="39"/>
      <c r="C82" s="39"/>
      <c r="D82" s="83">
        <f>SUM(D58,H58,L58,P58)+F19+F34+SUM(R37,T37,V37)</f>
        <v>43.75914266778585</v>
      </c>
      <c r="E82" s="83">
        <f>SUM(E58,I58,M58,Q58)+G19+G34+SUM(S37,U37,W37)</f>
        <v>81.49623909827537</v>
      </c>
      <c r="F82" s="59">
        <f t="shared" si="21"/>
        <v>43.75914266778585</v>
      </c>
      <c r="G82" s="59">
        <f t="shared" si="22"/>
        <v>81.49623909827537</v>
      </c>
      <c r="H82" s="84">
        <v>0</v>
      </c>
      <c r="I82" s="109">
        <f t="shared" si="24"/>
        <v>0.5369</v>
      </c>
      <c r="J82" s="54" t="s">
        <v>265</v>
      </c>
      <c r="K82" s="39" t="s">
        <v>290</v>
      </c>
      <c r="L82" s="70">
        <v>60</v>
      </c>
      <c r="M82" s="68">
        <f t="shared" si="23"/>
        <v>0.012022843402464683</v>
      </c>
    </row>
    <row r="83" spans="1:13" ht="12.75">
      <c r="A83" s="54" t="s">
        <v>268</v>
      </c>
      <c r="B83" s="39">
        <f>DisaggregatedBrewery!V7</f>
        <v>1.0923535918397727</v>
      </c>
      <c r="C83" s="39">
        <f>DisaggregatedBrewery!W7</f>
        <v>2.215178875635182</v>
      </c>
      <c r="D83" s="83">
        <f>SUM(D59,H59,L59,P59)+F35+SUM(R38,T38,V38)</f>
        <v>5.895403282769069</v>
      </c>
      <c r="E83" s="83">
        <f>SUM(E59,I59,M59,Q59)+G35+SUM(S38,U38,W38)</f>
        <v>10.14610284669719</v>
      </c>
      <c r="F83" s="59">
        <f t="shared" si="21"/>
        <v>6.987756874608842</v>
      </c>
      <c r="G83" s="59">
        <f t="shared" si="22"/>
        <v>12.361281722332372</v>
      </c>
      <c r="H83" s="84">
        <f>DisaggregatedBrewery!U7</f>
        <v>2.0098903619682176</v>
      </c>
      <c r="I83" s="109">
        <f t="shared" si="24"/>
        <v>0.5653</v>
      </c>
      <c r="J83" s="54"/>
      <c r="K83" s="39" t="s">
        <v>249</v>
      </c>
      <c r="L83" s="70">
        <f>SUM(L79:L82)</f>
        <v>2360</v>
      </c>
      <c r="M83" s="68">
        <f t="shared" si="23"/>
        <v>0.47289850716361087</v>
      </c>
    </row>
    <row r="84" spans="1:13" ht="12.75">
      <c r="A84" s="54" t="s">
        <v>269</v>
      </c>
      <c r="B84" s="39"/>
      <c r="C84" s="39"/>
      <c r="D84" s="83">
        <f>SUM(D60,H60,L60,P60)+SUM(R39,T39,V39)</f>
        <v>4.009580307263997</v>
      </c>
      <c r="E84" s="83">
        <f>SUM(E60,I60,M60,Q60)+SUM(S39,U39,W39)</f>
        <v>6.330645973905476</v>
      </c>
      <c r="F84" s="59">
        <f t="shared" si="21"/>
        <v>4.009580307263997</v>
      </c>
      <c r="G84" s="59">
        <f t="shared" si="22"/>
        <v>6.330645973905476</v>
      </c>
      <c r="H84" s="84">
        <v>0</v>
      </c>
      <c r="I84" s="109">
        <f t="shared" si="24"/>
        <v>0.6334</v>
      </c>
      <c r="J84" s="63"/>
      <c r="K84" s="64" t="s">
        <v>197</v>
      </c>
      <c r="L84" s="75">
        <v>4990.5</v>
      </c>
      <c r="M84" s="72">
        <f t="shared" si="23"/>
        <v>1</v>
      </c>
    </row>
    <row r="85" spans="1:9" ht="12.75">
      <c r="A85" s="54" t="s">
        <v>270</v>
      </c>
      <c r="B85" s="39"/>
      <c r="C85" s="39"/>
      <c r="D85" s="83">
        <f aca="true" t="shared" si="25" ref="D85:E87">SUM(D61,H61,L61,P61)</f>
        <v>0</v>
      </c>
      <c r="E85" s="83">
        <f t="shared" si="25"/>
        <v>0</v>
      </c>
      <c r="F85" s="57">
        <f t="shared" si="21"/>
        <v>0</v>
      </c>
      <c r="G85" s="57">
        <f t="shared" si="22"/>
        <v>0</v>
      </c>
      <c r="H85" s="84">
        <v>0</v>
      </c>
      <c r="I85" s="109">
        <v>0</v>
      </c>
    </row>
    <row r="86" spans="1:9" ht="12.75">
      <c r="A86" s="54" t="s">
        <v>271</v>
      </c>
      <c r="B86" s="39">
        <f>DisaggregatedBrewery!V12</f>
        <v>5.60634416988354</v>
      </c>
      <c r="C86" s="39">
        <f>DisaggregatedBrewery!W12</f>
        <v>11.369079817598212</v>
      </c>
      <c r="D86" s="83">
        <f t="shared" si="25"/>
        <v>0</v>
      </c>
      <c r="E86" s="83">
        <f t="shared" si="25"/>
        <v>0</v>
      </c>
      <c r="F86" s="59">
        <f t="shared" si="21"/>
        <v>5.60634416988354</v>
      </c>
      <c r="G86" s="59">
        <f t="shared" si="22"/>
        <v>11.369079817598212</v>
      </c>
      <c r="H86" s="84">
        <f>DisaggregatedBrewery!U12</f>
        <v>10.315466710689824</v>
      </c>
      <c r="I86" s="109">
        <f t="shared" si="24"/>
        <v>0.4931</v>
      </c>
    </row>
    <row r="87" spans="1:9" ht="12.75">
      <c r="A87" s="54" t="s">
        <v>272</v>
      </c>
      <c r="B87" s="39">
        <f>DisaggregatedBrewery!V14</f>
        <v>0.30521644477876003</v>
      </c>
      <c r="C87" s="39">
        <f>DisaggregatedBrewery!W14</f>
        <v>0.6189470387804185</v>
      </c>
      <c r="D87" s="83">
        <f t="shared" si="25"/>
        <v>0</v>
      </c>
      <c r="E87" s="83">
        <f t="shared" si="25"/>
        <v>0</v>
      </c>
      <c r="F87" s="59">
        <f t="shared" si="21"/>
        <v>0.30521644477876003</v>
      </c>
      <c r="G87" s="59">
        <f t="shared" si="22"/>
        <v>0.6189470387804185</v>
      </c>
      <c r="H87" s="84">
        <f>DisaggregatedBrewery!U14</f>
        <v>0.5615870129028844</v>
      </c>
      <c r="I87" s="109">
        <f t="shared" si="24"/>
        <v>0.4931</v>
      </c>
    </row>
    <row r="88" spans="1:9" ht="12.75">
      <c r="A88" s="54" t="s">
        <v>273</v>
      </c>
      <c r="B88" s="39">
        <f>DisaggregatedBrewery!V16</f>
        <v>0.30521644477876003</v>
      </c>
      <c r="C88" s="39">
        <f>DisaggregatedBrewery!W16</f>
        <v>0.6189470387804185</v>
      </c>
      <c r="D88" s="83">
        <f>SUM(D64,H64,L64,P64)+F21</f>
        <v>0.45523552117797217</v>
      </c>
      <c r="E88" s="83">
        <f>SUM(E64,I64,M64,Q64)+G21</f>
        <v>1.1170415607815638</v>
      </c>
      <c r="F88" s="83">
        <f t="shared" si="21"/>
        <v>0.7604519659567321</v>
      </c>
      <c r="G88" s="59">
        <f t="shared" si="22"/>
        <v>1.7359885995619821</v>
      </c>
      <c r="H88" s="84">
        <f>DisaggregatedBrewery!U16</f>
        <v>0.5615870129028844</v>
      </c>
      <c r="I88" s="109">
        <f t="shared" si="24"/>
        <v>0.4381</v>
      </c>
    </row>
    <row r="89" spans="1:9" ht="12.75">
      <c r="A89" s="54" t="s">
        <v>274</v>
      </c>
      <c r="B89" s="39"/>
      <c r="C89" s="39"/>
      <c r="D89" s="83">
        <f>SUM(D65,H65,L65,P65)</f>
        <v>0</v>
      </c>
      <c r="E89" s="83">
        <f>SUM(E65,I65,M65,Q65)</f>
        <v>0</v>
      </c>
      <c r="F89" s="83">
        <f t="shared" si="21"/>
        <v>0</v>
      </c>
      <c r="G89" s="83">
        <f t="shared" si="22"/>
        <v>0</v>
      </c>
      <c r="H89" s="84">
        <v>0</v>
      </c>
      <c r="I89" s="109">
        <v>0</v>
      </c>
    </row>
    <row r="90" spans="1:9" ht="12.75">
      <c r="A90" s="54" t="s">
        <v>275</v>
      </c>
      <c r="B90" s="39">
        <f>DisaggregatedBrewery!V18</f>
        <v>5.60634416988354</v>
      </c>
      <c r="C90" s="39">
        <f>DisaggregatedBrewery!W18</f>
        <v>11.369079817598212</v>
      </c>
      <c r="D90" s="83">
        <f>SUM(D66,H66,L66,P66)+F22+SUM(R40,T40,V40)</f>
        <v>10.582530270254015</v>
      </c>
      <c r="E90" s="83">
        <f>SUM(E66,I66,M66,Q66)+G22+SUM(S40,U40,W40)</f>
        <v>23.815029046109043</v>
      </c>
      <c r="F90" s="59">
        <f t="shared" si="21"/>
        <v>16.188874440137553</v>
      </c>
      <c r="G90" s="59">
        <f t="shared" si="22"/>
        <v>35.18410886370725</v>
      </c>
      <c r="H90" s="84">
        <f>DisaggregatedBrewery!U18</f>
        <v>10.315466710689824</v>
      </c>
      <c r="I90" s="109">
        <f t="shared" si="24"/>
        <v>0.4601</v>
      </c>
    </row>
    <row r="91" spans="1:9" ht="12.75">
      <c r="A91" s="54" t="s">
        <v>276</v>
      </c>
      <c r="B91" s="39"/>
      <c r="C91" s="39"/>
      <c r="D91" s="83">
        <f>SUM(D67,H67,L67,P67)+SUM(R41,T41,V41)</f>
        <v>0.17792770613500766</v>
      </c>
      <c r="E91" s="83">
        <f>SUM(E67,I67,M67,Q67)+SUM(S41,U41,W41)</f>
        <v>0.2815134408108342</v>
      </c>
      <c r="F91" s="83">
        <f t="shared" si="21"/>
        <v>0.17792770613500766</v>
      </c>
      <c r="G91" s="83">
        <f t="shared" si="22"/>
        <v>0.2815134408108342</v>
      </c>
      <c r="H91" s="84">
        <v>0</v>
      </c>
      <c r="I91" s="109">
        <f t="shared" si="24"/>
        <v>0.632</v>
      </c>
    </row>
    <row r="92" spans="1:9" ht="12.75">
      <c r="A92" s="54" t="s">
        <v>277</v>
      </c>
      <c r="B92" s="39"/>
      <c r="C92" s="39"/>
      <c r="D92" s="83">
        <f>SUM(D68,H68,L68,P68)</f>
        <v>0</v>
      </c>
      <c r="E92" s="83">
        <f>SUM(E68,I68,M68,Q68)</f>
        <v>0</v>
      </c>
      <c r="F92" s="83">
        <f t="shared" si="21"/>
        <v>0</v>
      </c>
      <c r="G92" s="83">
        <f t="shared" si="22"/>
        <v>0</v>
      </c>
      <c r="H92" s="84">
        <v>0</v>
      </c>
      <c r="I92" s="109">
        <v>0</v>
      </c>
    </row>
    <row r="93" spans="1:9" ht="12.75">
      <c r="A93" s="54" t="s">
        <v>278</v>
      </c>
      <c r="B93" s="39">
        <f>DisaggregatedBrewery!V28</f>
        <v>12.03195353364691</v>
      </c>
      <c r="C93" s="39">
        <f>DisaggregatedBrewery!W28</f>
        <v>24.399543791922813</v>
      </c>
      <c r="D93" s="83">
        <f aca="true" t="shared" si="26" ref="D93:E95">SUM(D69,H69,L69,P69)+F24+SUM(R42,T42,V42)</f>
        <v>2.3219690634596315</v>
      </c>
      <c r="E93" s="83">
        <f t="shared" si="26"/>
        <v>4.7393496817852885</v>
      </c>
      <c r="F93" s="59">
        <f t="shared" si="21"/>
        <v>14.353922597106541</v>
      </c>
      <c r="G93" s="59">
        <f t="shared" si="22"/>
        <v>29.1388934737081</v>
      </c>
      <c r="H93" s="84">
        <f>DisaggregatedBrewery!U28</f>
        <v>22.13835119285581</v>
      </c>
      <c r="I93" s="109">
        <f t="shared" si="24"/>
        <v>0.4926</v>
      </c>
    </row>
    <row r="94" spans="1:9" ht="12.75">
      <c r="A94" s="54" t="s">
        <v>279</v>
      </c>
      <c r="B94" s="39">
        <f>DisaggregatedBrewery!V31</f>
        <v>0.30521644477876003</v>
      </c>
      <c r="C94" s="39">
        <f>DisaggregatedBrewery!W31</f>
        <v>0.6189470387804185</v>
      </c>
      <c r="D94" s="83">
        <f t="shared" si="26"/>
        <v>6.493925576120945</v>
      </c>
      <c r="E94" s="83">
        <f t="shared" si="26"/>
        <v>13.713990090681293</v>
      </c>
      <c r="F94" s="59">
        <f t="shared" si="21"/>
        <v>6.799142020899705</v>
      </c>
      <c r="G94" s="59">
        <f t="shared" si="22"/>
        <v>14.332937129461712</v>
      </c>
      <c r="H94" s="84">
        <f>DisaggregatedBrewery!U31</f>
        <v>0.5615870129028844</v>
      </c>
      <c r="I94" s="109">
        <f t="shared" si="24"/>
        <v>0.4744</v>
      </c>
    </row>
    <row r="95" spans="1:9" ht="12.75">
      <c r="A95" s="54" t="s">
        <v>280</v>
      </c>
      <c r="B95" s="39"/>
      <c r="C95" s="39"/>
      <c r="D95" s="83">
        <f t="shared" si="26"/>
        <v>3.1545327291569167</v>
      </c>
      <c r="E95" s="83">
        <f t="shared" si="26"/>
        <v>4.619609881927428</v>
      </c>
      <c r="F95" s="59">
        <f t="shared" si="21"/>
        <v>3.1545327291569167</v>
      </c>
      <c r="G95" s="59">
        <f t="shared" si="22"/>
        <v>4.619609881927428</v>
      </c>
      <c r="H95" s="84">
        <v>0</v>
      </c>
      <c r="I95" s="109">
        <f t="shared" si="24"/>
        <v>0.6829</v>
      </c>
    </row>
    <row r="96" spans="1:9" ht="12.75">
      <c r="A96" s="54" t="s">
        <v>281</v>
      </c>
      <c r="B96" s="39"/>
      <c r="C96" s="39"/>
      <c r="D96" s="83">
        <f>SUM(D72,H72,L72,P72)</f>
        <v>0</v>
      </c>
      <c r="E96" s="83">
        <f>SUM(E72,I72,M72,Q72)</f>
        <v>0</v>
      </c>
      <c r="F96" s="83">
        <f t="shared" si="21"/>
        <v>0</v>
      </c>
      <c r="G96" s="83">
        <f t="shared" si="22"/>
        <v>0</v>
      </c>
      <c r="H96" s="84">
        <v>0</v>
      </c>
      <c r="I96" s="109">
        <v>0</v>
      </c>
    </row>
    <row r="97" spans="1:9" ht="12.75">
      <c r="A97" s="54" t="s">
        <v>282</v>
      </c>
      <c r="B97" s="39"/>
      <c r="C97" s="39"/>
      <c r="D97" s="83">
        <f>SUM(D73,H73,L73,P73)+F27+F36+SUM(R45,T45,V45)</f>
        <v>53.921058789066294</v>
      </c>
      <c r="E97" s="83">
        <f>SUM(E73,I73,M73,Q73)+G27+G36+SUM(S45,U45,W45)</f>
        <v>94.08304473124684</v>
      </c>
      <c r="F97" s="59">
        <f t="shared" si="21"/>
        <v>53.921058789066294</v>
      </c>
      <c r="G97" s="59">
        <f t="shared" si="22"/>
        <v>94.08304473124684</v>
      </c>
      <c r="H97" s="84">
        <v>0</v>
      </c>
      <c r="I97" s="109">
        <f t="shared" si="24"/>
        <v>0.5731</v>
      </c>
    </row>
    <row r="98" spans="1:9" ht="12.75">
      <c r="A98" s="63" t="s">
        <v>283</v>
      </c>
      <c r="B98" s="64"/>
      <c r="C98" s="64"/>
      <c r="D98" s="88">
        <f>SUM(D74,H74,L74,P74)+F28+SUM(R46,T46,V46)</f>
        <v>2.6411186435576712</v>
      </c>
      <c r="E98" s="88">
        <f>SUM(E74,I74,M74,Q74)+G28+SUM(S46,U46,W46)</f>
        <v>5.40212664413143</v>
      </c>
      <c r="F98" s="89">
        <f t="shared" si="21"/>
        <v>2.6411186435576712</v>
      </c>
      <c r="G98" s="89">
        <f t="shared" si="22"/>
        <v>5.40212664413143</v>
      </c>
      <c r="H98" s="104">
        <v>0</v>
      </c>
      <c r="I98" s="109">
        <f t="shared" si="24"/>
        <v>0.4889</v>
      </c>
    </row>
    <row r="104" spans="1:30" s="39" customFormat="1" ht="12.75">
      <c r="A104" s="50" t="s">
        <v>291</v>
      </c>
      <c r="B104" s="51"/>
      <c r="C104" s="51"/>
      <c r="D104" s="51"/>
      <c r="E104" s="51"/>
      <c r="F104" s="51"/>
      <c r="G104" s="51" t="s">
        <v>292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2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18" s="39" customFormat="1" ht="12.75">
      <c r="A105" s="54" t="s">
        <v>293</v>
      </c>
      <c r="E105" s="58" t="s">
        <v>294</v>
      </c>
      <c r="F105" s="39" t="s">
        <v>295</v>
      </c>
      <c r="G105" s="39" t="s">
        <v>156</v>
      </c>
      <c r="H105" s="39" t="s">
        <v>157</v>
      </c>
      <c r="I105" s="39" t="s">
        <v>158</v>
      </c>
      <c r="J105" s="39" t="s">
        <v>159</v>
      </c>
      <c r="K105" s="39" t="s">
        <v>160</v>
      </c>
      <c r="L105" s="39" t="s">
        <v>161</v>
      </c>
      <c r="M105" s="39" t="s">
        <v>162</v>
      </c>
      <c r="N105" s="39" t="s">
        <v>163</v>
      </c>
      <c r="O105" s="39" t="s">
        <v>164</v>
      </c>
      <c r="P105" s="39" t="s">
        <v>165</v>
      </c>
      <c r="Q105" s="39" t="s">
        <v>166</v>
      </c>
      <c r="R105" s="55" t="s">
        <v>167</v>
      </c>
    </row>
    <row r="106" spans="1:18" s="39" customFormat="1" ht="12.75">
      <c r="A106" s="91">
        <f>F29</f>
        <v>14.322233058588003</v>
      </c>
      <c r="B106" s="39" t="s">
        <v>226</v>
      </c>
      <c r="D106" s="58" t="s">
        <v>296</v>
      </c>
      <c r="E106" s="92">
        <v>0.07</v>
      </c>
      <c r="F106" s="39" t="s">
        <v>297</v>
      </c>
      <c r="G106" s="59">
        <f>A106/12*E106</f>
        <v>0.08354635950843002</v>
      </c>
      <c r="H106" s="59">
        <f>A106/12*E106</f>
        <v>0.08354635950843002</v>
      </c>
      <c r="I106" s="59">
        <f>A106/12*E106</f>
        <v>0.08354635950843002</v>
      </c>
      <c r="J106" s="59">
        <f>A106/12*E106</f>
        <v>0.08354635950843002</v>
      </c>
      <c r="K106" s="59">
        <f>A106/12*E106</f>
        <v>0.08354635950843002</v>
      </c>
      <c r="L106" s="59">
        <f>A106/12*E106</f>
        <v>0.08354635950843002</v>
      </c>
      <c r="M106" s="59">
        <f>A106/12*E106</f>
        <v>0.08354635950843002</v>
      </c>
      <c r="N106" s="59">
        <f>A106/12*E106</f>
        <v>0.08354635950843002</v>
      </c>
      <c r="O106" s="59">
        <f>A106/12*E106</f>
        <v>0.08354635950843002</v>
      </c>
      <c r="P106" s="59">
        <f>A106/12*E106</f>
        <v>0.08354635950843002</v>
      </c>
      <c r="Q106" s="59">
        <f>A106/12*E106</f>
        <v>0.08354635950843002</v>
      </c>
      <c r="R106" s="87">
        <f>A106/12*E106</f>
        <v>0.08354635950843002</v>
      </c>
    </row>
    <row r="107" spans="1:18" s="39" customFormat="1" ht="12.75">
      <c r="A107" s="54"/>
      <c r="D107" s="58"/>
      <c r="E107" s="92">
        <v>0.93</v>
      </c>
      <c r="F107" s="39" t="s">
        <v>298</v>
      </c>
      <c r="G107" s="59"/>
      <c r="H107" s="59"/>
      <c r="I107" s="59"/>
      <c r="J107" s="59"/>
      <c r="K107" s="59"/>
      <c r="L107" s="59"/>
      <c r="M107" s="59"/>
      <c r="N107" s="59"/>
      <c r="O107" s="59">
        <f>A106*E107/4</f>
        <v>3.329919186121711</v>
      </c>
      <c r="P107" s="59">
        <f>A106*E107/4</f>
        <v>3.329919186121711</v>
      </c>
      <c r="Q107" s="59">
        <f>A106*E107/4</f>
        <v>3.329919186121711</v>
      </c>
      <c r="R107" s="87">
        <f>A106*E107/4</f>
        <v>3.329919186121711</v>
      </c>
    </row>
    <row r="108" spans="1:18" s="39" customFormat="1" ht="12.75">
      <c r="A108" s="91">
        <f>F37</f>
        <v>91.77701835253042</v>
      </c>
      <c r="B108" s="39" t="s">
        <v>226</v>
      </c>
      <c r="D108" s="58" t="s">
        <v>299</v>
      </c>
      <c r="G108" s="59">
        <f>A108/12</f>
        <v>7.648084862710868</v>
      </c>
      <c r="H108" s="59">
        <f>A108/12</f>
        <v>7.648084862710868</v>
      </c>
      <c r="I108" s="59">
        <f>A108/12</f>
        <v>7.648084862710868</v>
      </c>
      <c r="J108" s="59">
        <f>A108/12</f>
        <v>7.648084862710868</v>
      </c>
      <c r="K108" s="59">
        <f>A108/12</f>
        <v>7.648084862710868</v>
      </c>
      <c r="L108" s="59">
        <f>A108/12</f>
        <v>7.648084862710868</v>
      </c>
      <c r="M108" s="59">
        <f>A108/12</f>
        <v>7.648084862710868</v>
      </c>
      <c r="N108" s="59">
        <f>A108/12</f>
        <v>7.648084862710868</v>
      </c>
      <c r="O108" s="59">
        <f>A108/12</f>
        <v>7.648084862710868</v>
      </c>
      <c r="P108" s="59">
        <f>A108/12</f>
        <v>7.648084862710868</v>
      </c>
      <c r="Q108" s="59">
        <f>A108/12</f>
        <v>7.648084862710868</v>
      </c>
      <c r="R108" s="87">
        <f>A108/12</f>
        <v>7.648084862710868</v>
      </c>
    </row>
    <row r="109" spans="1:18" s="39" customFormat="1" ht="12.75">
      <c r="A109" s="54">
        <f>B47</f>
        <v>8.1711531</v>
      </c>
      <c r="B109" s="39" t="s">
        <v>226</v>
      </c>
      <c r="D109" s="58" t="s">
        <v>300</v>
      </c>
      <c r="E109" s="92">
        <v>0.07</v>
      </c>
      <c r="F109" s="39" t="s">
        <v>297</v>
      </c>
      <c r="G109" s="59">
        <f>A109*E109/12</f>
        <v>0.04766505975000001</v>
      </c>
      <c r="H109" s="59">
        <f>A109*E109/12</f>
        <v>0.04766505975000001</v>
      </c>
      <c r="I109" s="59">
        <f>A109*E109/12</f>
        <v>0.04766505975000001</v>
      </c>
      <c r="J109" s="59">
        <f>A109*E109/12</f>
        <v>0.04766505975000001</v>
      </c>
      <c r="K109" s="59">
        <f>A109*E109/12</f>
        <v>0.04766505975000001</v>
      </c>
      <c r="L109" s="59">
        <f>A109*E109/12</f>
        <v>0.04766505975000001</v>
      </c>
      <c r="M109" s="59">
        <f>A109*E109/12</f>
        <v>0.04766505975000001</v>
      </c>
      <c r="N109" s="59">
        <f>A109*E109/12</f>
        <v>0.04766505975000001</v>
      </c>
      <c r="O109" s="59">
        <f>A109*E109/12</f>
        <v>0.04766505975000001</v>
      </c>
      <c r="P109" s="59">
        <f>A109*E109/12</f>
        <v>0.04766505975000001</v>
      </c>
      <c r="Q109" s="59">
        <f>A109*E109/12</f>
        <v>0.04766505975000001</v>
      </c>
      <c r="R109" s="87">
        <f>A109*E109/12</f>
        <v>0.04766505975000001</v>
      </c>
    </row>
    <row r="110" spans="1:18" s="39" customFormat="1" ht="12.75">
      <c r="A110" s="54"/>
      <c r="D110" s="58"/>
      <c r="E110" s="92">
        <f>93%*0.71</f>
        <v>0.6603</v>
      </c>
      <c r="F110" s="39" t="s">
        <v>301</v>
      </c>
      <c r="G110" s="59"/>
      <c r="H110" s="59"/>
      <c r="I110" s="59"/>
      <c r="J110" s="59"/>
      <c r="K110" s="59"/>
      <c r="L110" s="59"/>
      <c r="M110" s="59">
        <f>A109/6*E110</f>
        <v>0.899235398655</v>
      </c>
      <c r="N110" s="59">
        <f>A109/6*E110</f>
        <v>0.899235398655</v>
      </c>
      <c r="O110" s="59">
        <f>A109/6*E110</f>
        <v>0.899235398655</v>
      </c>
      <c r="P110" s="59">
        <f>A109/6*E110</f>
        <v>0.899235398655</v>
      </c>
      <c r="Q110" s="59">
        <f>A109/6*E110</f>
        <v>0.899235398655</v>
      </c>
      <c r="R110" s="87">
        <f>A109/6*E110</f>
        <v>0.899235398655</v>
      </c>
    </row>
    <row r="111" spans="1:18" s="39" customFormat="1" ht="12.75">
      <c r="A111" s="54"/>
      <c r="D111" s="58"/>
      <c r="E111" s="92">
        <f>93%*0.29</f>
        <v>0.2697</v>
      </c>
      <c r="F111" s="39" t="s">
        <v>302</v>
      </c>
      <c r="G111" s="59"/>
      <c r="H111" s="59"/>
      <c r="I111" s="59"/>
      <c r="J111" s="59"/>
      <c r="K111" s="59">
        <f>E111*A109/4</f>
        <v>0.5509399977675</v>
      </c>
      <c r="L111" s="59">
        <f>E111*A109/4</f>
        <v>0.5509399977675</v>
      </c>
      <c r="M111" s="59">
        <f>E111*A109/4</f>
        <v>0.5509399977675</v>
      </c>
      <c r="N111" s="59">
        <f>E111*A109/4</f>
        <v>0.5509399977675</v>
      </c>
      <c r="O111" s="59"/>
      <c r="P111" s="59"/>
      <c r="Q111" s="59"/>
      <c r="R111" s="87"/>
    </row>
    <row r="112" spans="1:18" s="39" customFormat="1" ht="12.75">
      <c r="A112" s="54">
        <f>C47+D47</f>
        <v>16.68211875</v>
      </c>
      <c r="B112" s="39" t="s">
        <v>226</v>
      </c>
      <c r="D112" s="58" t="s">
        <v>303</v>
      </c>
      <c r="G112" s="59">
        <f>A112/12</f>
        <v>1.3901765625</v>
      </c>
      <c r="H112" s="59">
        <f>A112/12</f>
        <v>1.3901765625</v>
      </c>
      <c r="I112" s="59">
        <f>A112/12</f>
        <v>1.3901765625</v>
      </c>
      <c r="J112" s="59">
        <f>A112/12</f>
        <v>1.3901765625</v>
      </c>
      <c r="K112" s="59">
        <f>A112/12</f>
        <v>1.3901765625</v>
      </c>
      <c r="L112" s="59">
        <f>A112/12</f>
        <v>1.3901765625</v>
      </c>
      <c r="M112" s="59">
        <f>A112/12</f>
        <v>1.3901765625</v>
      </c>
      <c r="N112" s="59">
        <f>A112/12</f>
        <v>1.3901765625</v>
      </c>
      <c r="O112" s="59">
        <f>A112/12</f>
        <v>1.3901765625</v>
      </c>
      <c r="P112" s="59">
        <f>A112/12</f>
        <v>1.3901765625</v>
      </c>
      <c r="Q112" s="59">
        <f>A112/12</f>
        <v>1.3901765625</v>
      </c>
      <c r="R112" s="87">
        <f>A112/12</f>
        <v>1.3901765625</v>
      </c>
    </row>
    <row r="113" spans="1:18" s="39" customFormat="1" ht="12.75">
      <c r="A113" s="54">
        <f>D75</f>
        <v>5.67544679249625</v>
      </c>
      <c r="B113" s="39" t="s">
        <v>226</v>
      </c>
      <c r="D113" s="58" t="s">
        <v>304</v>
      </c>
      <c r="G113" s="59"/>
      <c r="H113" s="59"/>
      <c r="I113" s="59"/>
      <c r="J113" s="59"/>
      <c r="K113" s="59"/>
      <c r="L113" s="59"/>
      <c r="M113" s="59"/>
      <c r="N113" s="59">
        <f>A113/4</f>
        <v>1.4188616981240625</v>
      </c>
      <c r="O113" s="59">
        <f>A113/4</f>
        <v>1.4188616981240625</v>
      </c>
      <c r="P113" s="59">
        <f>A113/4</f>
        <v>1.4188616981240625</v>
      </c>
      <c r="Q113" s="59">
        <f>A113/4</f>
        <v>1.4188616981240625</v>
      </c>
      <c r="R113" s="87"/>
    </row>
    <row r="114" spans="1:18" s="39" customFormat="1" ht="12.75">
      <c r="A114" s="54">
        <f>H75+P75</f>
        <v>13.815945817597125</v>
      </c>
      <c r="B114" s="39" t="s">
        <v>226</v>
      </c>
      <c r="D114" s="58" t="s">
        <v>305</v>
      </c>
      <c r="G114" s="59">
        <f>A114/4</f>
        <v>3.4539864543992813</v>
      </c>
      <c r="H114" s="59"/>
      <c r="I114" s="59"/>
      <c r="J114" s="59"/>
      <c r="K114" s="59"/>
      <c r="L114" s="59"/>
      <c r="M114" s="59"/>
      <c r="N114" s="59"/>
      <c r="O114" s="59"/>
      <c r="P114" s="59">
        <f>A114/4</f>
        <v>3.4539864543992813</v>
      </c>
      <c r="Q114" s="59">
        <f>A114/4</f>
        <v>3.4539864543992813</v>
      </c>
      <c r="R114" s="87">
        <f>A114/4</f>
        <v>3.4539864543992813</v>
      </c>
    </row>
    <row r="115" spans="1:18" s="39" customFormat="1" ht="12.75">
      <c r="A115" s="54">
        <f>L75</f>
        <v>0.11464046977500002</v>
      </c>
      <c r="B115" s="39" t="s">
        <v>226</v>
      </c>
      <c r="D115" s="58" t="s">
        <v>306</v>
      </c>
      <c r="G115" s="59"/>
      <c r="H115" s="59"/>
      <c r="I115" s="59"/>
      <c r="J115" s="59"/>
      <c r="K115" s="59"/>
      <c r="L115" s="59"/>
      <c r="M115" s="59"/>
      <c r="N115" s="59"/>
      <c r="O115" s="59">
        <f>A115/4</f>
        <v>0.028660117443750004</v>
      </c>
      <c r="P115" s="59">
        <f>A115/4</f>
        <v>0.028660117443750004</v>
      </c>
      <c r="Q115" s="59">
        <f>A115/4</f>
        <v>0.028660117443750004</v>
      </c>
      <c r="R115" s="87">
        <f>A115/4</f>
        <v>0.028660117443750004</v>
      </c>
    </row>
    <row r="116" spans="1:18" s="39" customFormat="1" ht="12.75">
      <c r="A116" s="54">
        <f>DisaggregatedBrewery!$V$33</f>
        <v>32.77060775519318</v>
      </c>
      <c r="B116" s="39" t="s">
        <v>226</v>
      </c>
      <c r="D116" s="58" t="s">
        <v>307</v>
      </c>
      <c r="G116" s="59">
        <f>A116*G121</f>
        <v>2.520239902838136</v>
      </c>
      <c r="H116" s="59">
        <f>A116*H121</f>
        <v>2.4780928059288323</v>
      </c>
      <c r="I116" s="59">
        <f>A116*I121</f>
        <v>2.8696792757166105</v>
      </c>
      <c r="J116" s="59">
        <f>A116*J121</f>
        <v>2.788661295271431</v>
      </c>
      <c r="K116" s="59">
        <f>A116*K121</f>
        <v>3.0270801246381156</v>
      </c>
      <c r="L116" s="59">
        <f>A116*L121</f>
        <v>3.0955141232843855</v>
      </c>
      <c r="M116" s="59">
        <f>A116*M121</f>
        <v>2.976645287429797</v>
      </c>
      <c r="N116" s="59">
        <f>A116*N121</f>
        <v>2.937265047798596</v>
      </c>
      <c r="O116" s="59">
        <f>A116*O121</f>
        <v>2.7464010520919473</v>
      </c>
      <c r="P116" s="59">
        <f>A116*P121</f>
        <v>2.5617573861209135</v>
      </c>
      <c r="Q116" s="59">
        <f>A116*Q121</f>
        <v>2.486469385976728</v>
      </c>
      <c r="R116" s="87">
        <f>A116*R121</f>
        <v>2.2828110098306675</v>
      </c>
    </row>
    <row r="117" spans="1:18" s="39" customFormat="1" ht="12.75">
      <c r="A117" s="54"/>
      <c r="D117" s="58" t="s">
        <v>308</v>
      </c>
      <c r="G117" s="59">
        <f aca="true" t="shared" si="27" ref="G117:R117">SUM(G106:G116)</f>
        <v>15.143699201706717</v>
      </c>
      <c r="H117" s="59">
        <f t="shared" si="27"/>
        <v>11.647565650398132</v>
      </c>
      <c r="I117" s="59">
        <f t="shared" si="27"/>
        <v>12.039152120185909</v>
      </c>
      <c r="J117" s="59">
        <f t="shared" si="27"/>
        <v>11.95813413974073</v>
      </c>
      <c r="K117" s="59">
        <f t="shared" si="27"/>
        <v>12.747492966874916</v>
      </c>
      <c r="L117" s="59">
        <f t="shared" si="27"/>
        <v>12.815926965521184</v>
      </c>
      <c r="M117" s="59">
        <f t="shared" si="27"/>
        <v>13.596293528321596</v>
      </c>
      <c r="N117" s="59">
        <f t="shared" si="27"/>
        <v>14.975774986814457</v>
      </c>
      <c r="O117" s="59">
        <f t="shared" si="27"/>
        <v>17.59255029690577</v>
      </c>
      <c r="P117" s="59">
        <f t="shared" si="27"/>
        <v>20.861893085334017</v>
      </c>
      <c r="Q117" s="59">
        <f t="shared" si="27"/>
        <v>20.786605085189834</v>
      </c>
      <c r="R117" s="87">
        <f t="shared" si="27"/>
        <v>19.164085010919706</v>
      </c>
    </row>
    <row r="118" spans="1:18" s="39" customFormat="1" ht="12.75">
      <c r="A118" s="54"/>
      <c r="D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87"/>
    </row>
    <row r="119" spans="1:18" s="39" customFormat="1" ht="12.75">
      <c r="A119" s="63">
        <f>DisaggregatedBrewery!$U$33</f>
        <v>60.296710859046534</v>
      </c>
      <c r="B119" s="64" t="s">
        <v>309</v>
      </c>
      <c r="C119" s="64"/>
      <c r="D119" s="93"/>
      <c r="E119" s="64"/>
      <c r="F119" s="64"/>
      <c r="G119" s="89">
        <f>A119*G121</f>
        <v>4.6371485647159245</v>
      </c>
      <c r="H119" s="89">
        <f>A119*H121</f>
        <v>4.559599459283611</v>
      </c>
      <c r="I119" s="89">
        <f>A119*I121</f>
        <v>5.280104135958907</v>
      </c>
      <c r="J119" s="89">
        <f>A119*J121</f>
        <v>5.131034036991556</v>
      </c>
      <c r="K119" s="89">
        <f>A119*K121</f>
        <v>5.56971589864843</v>
      </c>
      <c r="L119" s="89">
        <f>A119*L121</f>
        <v>5.695631934753942</v>
      </c>
      <c r="M119" s="89">
        <f>A119*M121</f>
        <v>5.47691765642202</v>
      </c>
      <c r="N119" s="89">
        <f>A119*N121</f>
        <v>5.404459466438461</v>
      </c>
      <c r="O119" s="89">
        <f>A119*O121</f>
        <v>5.053276746590907</v>
      </c>
      <c r="P119" s="89">
        <f>A119*P121</f>
        <v>4.713539204273112</v>
      </c>
      <c r="Q119" s="89">
        <f>A119*Q121</f>
        <v>4.575012057942406</v>
      </c>
      <c r="R119" s="90">
        <f>A119*R121</f>
        <v>4.200288149486484</v>
      </c>
    </row>
    <row r="120" spans="4:18" s="39" customFormat="1" ht="12.75">
      <c r="D120" s="58"/>
      <c r="F120" s="50" t="s">
        <v>310</v>
      </c>
      <c r="G120" s="51" t="s">
        <v>311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2"/>
    </row>
    <row r="121" spans="4:18" s="39" customFormat="1" ht="12.75">
      <c r="D121" s="58"/>
      <c r="F121" s="73" t="s">
        <v>312</v>
      </c>
      <c r="G121" s="69">
        <v>0.07690549780660542</v>
      </c>
      <c r="H121" s="69">
        <v>0.07561937283681067</v>
      </c>
      <c r="I121" s="69">
        <v>0.08756869256603428</v>
      </c>
      <c r="J121" s="69">
        <v>0.08509641676784313</v>
      </c>
      <c r="K121" s="69">
        <v>0.09237180302701015</v>
      </c>
      <c r="L121" s="69">
        <v>0.09446007673732681</v>
      </c>
      <c r="M121" s="69">
        <v>0.09083277642167273</v>
      </c>
      <c r="N121" s="69">
        <v>0.0896310825157988</v>
      </c>
      <c r="O121" s="69">
        <v>0.08380683912268069</v>
      </c>
      <c r="P121" s="69">
        <v>0.07817241002236067</v>
      </c>
      <c r="Q121" s="69">
        <v>0.07587498543058589</v>
      </c>
      <c r="R121" s="68">
        <v>0.06966031960359077</v>
      </c>
    </row>
    <row r="122" spans="4:18" s="39" customFormat="1" ht="12.75">
      <c r="D122" s="58"/>
      <c r="F122" s="73"/>
      <c r="H122" s="92">
        <f>SUM(G121:I121)</f>
        <v>0.24009356320945036</v>
      </c>
      <c r="K122" s="92">
        <f>SUM(J121:L121)</f>
        <v>0.2719282965321801</v>
      </c>
      <c r="N122" s="92">
        <f>SUM(M121:O121)</f>
        <v>0.26427069806015224</v>
      </c>
      <c r="Q122" s="92">
        <f>SUM(P121:R121)</f>
        <v>0.2237077150565373</v>
      </c>
      <c r="R122" s="55"/>
    </row>
    <row r="123" spans="4:18" s="39" customFormat="1" ht="12.75">
      <c r="D123" s="58"/>
      <c r="F123" s="73"/>
      <c r="G123" s="39" t="s">
        <v>313</v>
      </c>
      <c r="H123" s="92"/>
      <c r="K123" s="92"/>
      <c r="N123" s="92"/>
      <c r="Q123" s="92"/>
      <c r="R123" s="55"/>
    </row>
    <row r="124" spans="4:18" s="39" customFormat="1" ht="12.75">
      <c r="D124" s="58"/>
      <c r="F124" s="73" t="s">
        <v>206</v>
      </c>
      <c r="G124" s="107">
        <f>SUM(G106:G116)/SUM(A106:A116)</f>
        <v>0.08260387416462489</v>
      </c>
      <c r="H124" s="107">
        <f>SUM(H106:H116)/SUM(A106:A116)</f>
        <v>0.06353362111162777</v>
      </c>
      <c r="I124" s="107">
        <f>SUM(I106:I116)/SUM(A106:A116)</f>
        <v>0.06566959588529957</v>
      </c>
      <c r="J124" s="107">
        <f>SUM(J106:J116)/SUM(A106:A116)</f>
        <v>0.06522766957834998</v>
      </c>
      <c r="K124" s="107">
        <f>SUM(K106:K116)/SUM(A106:A116)</f>
        <v>0.06953336109789493</v>
      </c>
      <c r="L124" s="107">
        <f>SUM(L106:L116)/SUM(A106:A116)</f>
        <v>0.06990664594312755</v>
      </c>
      <c r="M124" s="107">
        <f>SUM(M106:M116)/SUM(A106:A116)</f>
        <v>0.07416328763266805</v>
      </c>
      <c r="N124" s="107">
        <f>SUM(N106:N116)/SUM(A106:A116)</f>
        <v>0.08168790307120867</v>
      </c>
      <c r="O124" s="107">
        <f>SUM(O106:O116)/SUM(A106:A116)</f>
        <v>0.09596154754557323</v>
      </c>
      <c r="P124" s="107">
        <f>SUM(P106:P116)/SUM(A106:A116)</f>
        <v>0.11379473194122701</v>
      </c>
      <c r="Q124" s="107">
        <f>SUM(Q106:Q116)/SUM(A106:A116)</f>
        <v>0.11338406078306536</v>
      </c>
      <c r="R124" s="108">
        <f>SUM(R106:R116)/SUM(A106:A116)</f>
        <v>0.10453375001953129</v>
      </c>
    </row>
    <row r="125" spans="4:18" s="39" customFormat="1" ht="12.75">
      <c r="D125" s="58"/>
      <c r="F125" s="73" t="s">
        <v>314</v>
      </c>
      <c r="G125" s="69">
        <f>G119/A119</f>
        <v>0.07690549780660542</v>
      </c>
      <c r="H125" s="69">
        <f>H119/A119</f>
        <v>0.07561937283681067</v>
      </c>
      <c r="I125" s="69">
        <f>I119/A119</f>
        <v>0.08756869256603428</v>
      </c>
      <c r="J125" s="69">
        <f>J119/A119</f>
        <v>0.08509641676784313</v>
      </c>
      <c r="K125" s="69">
        <f>K119/A119</f>
        <v>0.09237180302701015</v>
      </c>
      <c r="L125" s="69">
        <f>L119/A119</f>
        <v>0.09446007673732681</v>
      </c>
      <c r="M125" s="69">
        <f>M119/A119</f>
        <v>0.09083277642167273</v>
      </c>
      <c r="N125" s="69">
        <f>N119/A119</f>
        <v>0.0896310825157988</v>
      </c>
      <c r="O125" s="69">
        <f>O119/A119</f>
        <v>0.08380683912268069</v>
      </c>
      <c r="P125" s="69">
        <f>P119/A119</f>
        <v>0.07817241002236067</v>
      </c>
      <c r="Q125" s="69">
        <f>Q119/A119</f>
        <v>0.07587498543058589</v>
      </c>
      <c r="R125" s="68">
        <f>R119/A119</f>
        <v>0.06966031960359077</v>
      </c>
    </row>
    <row r="126" spans="4:18" s="39" customFormat="1" ht="12.75">
      <c r="D126" s="58"/>
      <c r="F126" s="73"/>
      <c r="G126" s="39" t="s">
        <v>315</v>
      </c>
      <c r="R126" s="55"/>
    </row>
    <row r="127" spans="4:18" s="39" customFormat="1" ht="12.75">
      <c r="D127" s="58"/>
      <c r="F127" s="73" t="s">
        <v>206</v>
      </c>
      <c r="H127" s="95">
        <f>SUM(G124:I124)</f>
        <v>0.21180709116155222</v>
      </c>
      <c r="K127" s="95">
        <f>SUM(J124:L124)</f>
        <v>0.20466767661937246</v>
      </c>
      <c r="N127" s="95">
        <f>SUM(M124:O124)</f>
        <v>0.25181273824944994</v>
      </c>
      <c r="Q127" s="95">
        <f>SUM(P124:R124)</f>
        <v>0.33171254274382367</v>
      </c>
      <c r="R127" s="55"/>
    </row>
    <row r="128" spans="4:18" s="39" customFormat="1" ht="12.75">
      <c r="D128" s="58"/>
      <c r="F128" s="78" t="s">
        <v>314</v>
      </c>
      <c r="G128" s="64"/>
      <c r="H128" s="96">
        <f>SUM(G125:I125)</f>
        <v>0.24009356320945036</v>
      </c>
      <c r="I128" s="64"/>
      <c r="J128" s="64"/>
      <c r="K128" s="96">
        <f>SUM(J125:L125)</f>
        <v>0.2719282965321801</v>
      </c>
      <c r="L128" s="64"/>
      <c r="M128" s="64"/>
      <c r="N128" s="96">
        <f>SUM(M125:O125)</f>
        <v>0.26427069806015224</v>
      </c>
      <c r="O128" s="64"/>
      <c r="P128" s="64"/>
      <c r="Q128" s="96">
        <f>SUM(P125:R125)</f>
        <v>0.2237077150565373</v>
      </c>
      <c r="R128" s="65"/>
    </row>
    <row r="129" s="39" customFormat="1" ht="12.75">
      <c r="D129" s="58"/>
    </row>
    <row r="130" s="39" customFormat="1" ht="12.75">
      <c r="D130" s="58"/>
    </row>
    <row r="131" spans="1:18" s="39" customFormat="1" ht="12.75">
      <c r="A131" s="50" t="s">
        <v>316</v>
      </c>
      <c r="B131" s="51"/>
      <c r="C131" s="51"/>
      <c r="D131" s="53"/>
      <c r="E131" s="51"/>
      <c r="F131" s="51"/>
      <c r="G131" s="51" t="s">
        <v>317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2"/>
    </row>
    <row r="132" spans="1:18" s="39" customFormat="1" ht="12.75">
      <c r="A132" s="54" t="s">
        <v>318</v>
      </c>
      <c r="D132" s="58"/>
      <c r="E132" s="58" t="s">
        <v>294</v>
      </c>
      <c r="G132" s="39" t="s">
        <v>156</v>
      </c>
      <c r="H132" s="39" t="s">
        <v>157</v>
      </c>
      <c r="I132" s="39" t="s">
        <v>158</v>
      </c>
      <c r="J132" s="39" t="s">
        <v>159</v>
      </c>
      <c r="K132" s="39" t="s">
        <v>160</v>
      </c>
      <c r="L132" s="39" t="s">
        <v>161</v>
      </c>
      <c r="M132" s="39" t="s">
        <v>162</v>
      </c>
      <c r="N132" s="39" t="s">
        <v>163</v>
      </c>
      <c r="O132" s="39" t="s">
        <v>164</v>
      </c>
      <c r="P132" s="39" t="s">
        <v>165</v>
      </c>
      <c r="Q132" s="39" t="s">
        <v>166</v>
      </c>
      <c r="R132" s="55" t="s">
        <v>167</v>
      </c>
    </row>
    <row r="133" spans="1:18" s="39" customFormat="1" ht="12.75">
      <c r="A133" s="91">
        <f>G29</f>
        <v>48.25238530455002</v>
      </c>
      <c r="B133" s="39" t="s">
        <v>227</v>
      </c>
      <c r="D133" s="58" t="s">
        <v>296</v>
      </c>
      <c r="E133" s="92">
        <v>0.07</v>
      </c>
      <c r="F133" s="39" t="s">
        <v>297</v>
      </c>
      <c r="G133" s="59">
        <f>A133/12*E133</f>
        <v>0.2814722476098751</v>
      </c>
      <c r="H133" s="59">
        <f>A133/12*E133</f>
        <v>0.2814722476098751</v>
      </c>
      <c r="I133" s="59">
        <f>A133/12*E133</f>
        <v>0.2814722476098751</v>
      </c>
      <c r="J133" s="59">
        <f>A133/12*E133</f>
        <v>0.2814722476098751</v>
      </c>
      <c r="K133" s="59">
        <f>A133/12*E133</f>
        <v>0.2814722476098751</v>
      </c>
      <c r="L133" s="59">
        <f>A133/12*E133</f>
        <v>0.2814722476098751</v>
      </c>
      <c r="M133" s="59">
        <f>A133/12*E133</f>
        <v>0.2814722476098751</v>
      </c>
      <c r="N133" s="59">
        <f>A133/12*E133</f>
        <v>0.2814722476098751</v>
      </c>
      <c r="O133" s="59">
        <f>A133/12*E133</f>
        <v>0.2814722476098751</v>
      </c>
      <c r="P133" s="59">
        <f>A133/12*E133</f>
        <v>0.2814722476098751</v>
      </c>
      <c r="Q133" s="59">
        <f>A133/12*E133</f>
        <v>0.2814722476098751</v>
      </c>
      <c r="R133" s="87">
        <f>A133/12*E133</f>
        <v>0.2814722476098751</v>
      </c>
    </row>
    <row r="134" spans="1:18" s="39" customFormat="1" ht="12.75">
      <c r="A134" s="54"/>
      <c r="D134" s="58"/>
      <c r="E134" s="92">
        <v>0.93</v>
      </c>
      <c r="F134" s="39" t="s">
        <v>298</v>
      </c>
      <c r="G134" s="59"/>
      <c r="H134" s="59"/>
      <c r="I134" s="59"/>
      <c r="J134" s="59"/>
      <c r="K134" s="59"/>
      <c r="L134" s="59"/>
      <c r="M134" s="59"/>
      <c r="N134" s="59"/>
      <c r="O134" s="59">
        <f>A133*E134/4</f>
        <v>11.21867958330788</v>
      </c>
      <c r="P134" s="59">
        <f>A133*E134/4</f>
        <v>11.21867958330788</v>
      </c>
      <c r="Q134" s="59">
        <f>A133*E134/4</f>
        <v>11.21867958330788</v>
      </c>
      <c r="R134" s="87">
        <f>A133*E134/4</f>
        <v>11.21867958330788</v>
      </c>
    </row>
    <row r="135" spans="1:18" s="39" customFormat="1" ht="12.75">
      <c r="A135" s="91">
        <f>G37</f>
        <v>154.88719931030732</v>
      </c>
      <c r="B135" s="39" t="s">
        <v>227</v>
      </c>
      <c r="D135" s="58" t="s">
        <v>299</v>
      </c>
      <c r="G135" s="59">
        <f>A135/12</f>
        <v>12.907266609192277</v>
      </c>
      <c r="H135" s="59">
        <f>A135/12</f>
        <v>12.907266609192277</v>
      </c>
      <c r="I135" s="59">
        <f>A135/12</f>
        <v>12.907266609192277</v>
      </c>
      <c r="J135" s="59">
        <f>A135/12</f>
        <v>12.907266609192277</v>
      </c>
      <c r="K135" s="59">
        <f>A135/12</f>
        <v>12.907266609192277</v>
      </c>
      <c r="L135" s="59">
        <f>A135/12</f>
        <v>12.907266609192277</v>
      </c>
      <c r="M135" s="59">
        <f>A135/12</f>
        <v>12.907266609192277</v>
      </c>
      <c r="N135" s="59">
        <f>A135/12</f>
        <v>12.907266609192277</v>
      </c>
      <c r="O135" s="59">
        <f>A135/12</f>
        <v>12.907266609192277</v>
      </c>
      <c r="P135" s="59">
        <f>A135/12</f>
        <v>12.907266609192277</v>
      </c>
      <c r="Q135" s="59">
        <f>A135/12</f>
        <v>12.907266609192277</v>
      </c>
      <c r="R135" s="87">
        <f>A135/12</f>
        <v>12.907266609192277</v>
      </c>
    </row>
    <row r="136" spans="1:18" s="39" customFormat="1" ht="12.75">
      <c r="A136" s="54">
        <f>B48</f>
        <v>17.893507500000002</v>
      </c>
      <c r="B136" s="39" t="s">
        <v>227</v>
      </c>
      <c r="D136" s="58" t="s">
        <v>300</v>
      </c>
      <c r="E136" s="92">
        <v>0.07</v>
      </c>
      <c r="F136" s="39" t="s">
        <v>297</v>
      </c>
      <c r="G136" s="59">
        <f>A136*E136/12</f>
        <v>0.10437879375000002</v>
      </c>
      <c r="H136" s="59">
        <f>A136*E136/12</f>
        <v>0.10437879375000002</v>
      </c>
      <c r="I136" s="59">
        <f>A136*E136/12</f>
        <v>0.10437879375000002</v>
      </c>
      <c r="J136" s="59">
        <f>A136*E136/12</f>
        <v>0.10437879375000002</v>
      </c>
      <c r="K136" s="59">
        <f>A136*E136/12</f>
        <v>0.10437879375000002</v>
      </c>
      <c r="L136" s="59">
        <f>A136*E136/12</f>
        <v>0.10437879375000002</v>
      </c>
      <c r="M136" s="59">
        <f>A136*E136/12</f>
        <v>0.10437879375000002</v>
      </c>
      <c r="N136" s="59">
        <f>A136*E136/12</f>
        <v>0.10437879375000002</v>
      </c>
      <c r="O136" s="59">
        <f>A136*E136/12</f>
        <v>0.10437879375000002</v>
      </c>
      <c r="P136" s="59">
        <f>A136*E136/12</f>
        <v>0.10437879375000002</v>
      </c>
      <c r="Q136" s="59">
        <f>A136*E136/12</f>
        <v>0.10437879375000002</v>
      </c>
      <c r="R136" s="87">
        <f>A136*E136/12</f>
        <v>0.10437879375000002</v>
      </c>
    </row>
    <row r="137" spans="1:18" s="39" customFormat="1" ht="12.75">
      <c r="A137" s="54"/>
      <c r="D137" s="58"/>
      <c r="E137" s="92">
        <f>93%*0.71</f>
        <v>0.6603</v>
      </c>
      <c r="F137" s="39" t="s">
        <v>301</v>
      </c>
      <c r="G137" s="59"/>
      <c r="H137" s="59"/>
      <c r="I137" s="59"/>
      <c r="J137" s="59"/>
      <c r="K137" s="59"/>
      <c r="L137" s="59"/>
      <c r="M137" s="59">
        <f>A136/6*E137</f>
        <v>1.9691805003750003</v>
      </c>
      <c r="N137" s="59">
        <f>A136/6*E137</f>
        <v>1.9691805003750003</v>
      </c>
      <c r="O137" s="59">
        <f>A136/6*E137</f>
        <v>1.9691805003750003</v>
      </c>
      <c r="P137" s="59">
        <f>A136/6*E137</f>
        <v>1.9691805003750003</v>
      </c>
      <c r="Q137" s="59">
        <f>A136/6*E137</f>
        <v>1.9691805003750003</v>
      </c>
      <c r="R137" s="87">
        <f>A136/6*E137</f>
        <v>1.9691805003750003</v>
      </c>
    </row>
    <row r="138" spans="1:18" s="39" customFormat="1" ht="12.75">
      <c r="A138" s="54"/>
      <c r="D138" s="58"/>
      <c r="E138" s="92">
        <f>93%*0.29</f>
        <v>0.2697</v>
      </c>
      <c r="F138" s="39" t="s">
        <v>302</v>
      </c>
      <c r="G138" s="59"/>
      <c r="H138" s="59"/>
      <c r="I138" s="59"/>
      <c r="J138" s="59"/>
      <c r="K138" s="59">
        <f>E138*A136/4</f>
        <v>1.2064697431875</v>
      </c>
      <c r="L138" s="59">
        <f>E138*A136/4</f>
        <v>1.2064697431875</v>
      </c>
      <c r="M138" s="59">
        <f>E138*A136/4</f>
        <v>1.2064697431875</v>
      </c>
      <c r="N138" s="59">
        <f>E138*A136/4</f>
        <v>1.2064697431875</v>
      </c>
      <c r="O138" s="59"/>
      <c r="P138" s="59"/>
      <c r="Q138" s="59"/>
      <c r="R138" s="87"/>
    </row>
    <row r="139" spans="1:18" s="39" customFormat="1" ht="12.75">
      <c r="A139" s="54">
        <f>C48+D48</f>
        <v>35.110260000000004</v>
      </c>
      <c r="B139" s="39" t="s">
        <v>227</v>
      </c>
      <c r="D139" s="58" t="s">
        <v>303</v>
      </c>
      <c r="G139" s="59">
        <f>A139/12</f>
        <v>2.9258550000000003</v>
      </c>
      <c r="H139" s="59">
        <f>A139/12</f>
        <v>2.9258550000000003</v>
      </c>
      <c r="I139" s="59">
        <f>A139/12</f>
        <v>2.9258550000000003</v>
      </c>
      <c r="J139" s="59">
        <f>A139/12</f>
        <v>2.9258550000000003</v>
      </c>
      <c r="K139" s="59">
        <f>A139/12</f>
        <v>2.9258550000000003</v>
      </c>
      <c r="L139" s="59">
        <f>A139/12</f>
        <v>2.9258550000000003</v>
      </c>
      <c r="M139" s="59">
        <f>A139/12</f>
        <v>2.9258550000000003</v>
      </c>
      <c r="N139" s="59">
        <f>A139/12</f>
        <v>2.9258550000000003</v>
      </c>
      <c r="O139" s="59">
        <f>A139/12</f>
        <v>2.9258550000000003</v>
      </c>
      <c r="P139" s="59">
        <f>A139/12</f>
        <v>2.9258550000000003</v>
      </c>
      <c r="Q139" s="59">
        <f>A139/12</f>
        <v>2.9258550000000003</v>
      </c>
      <c r="R139" s="87">
        <f>A139/12</f>
        <v>2.9258550000000003</v>
      </c>
    </row>
    <row r="140" spans="1:18" s="39" customFormat="1" ht="12.75">
      <c r="A140" s="54">
        <f>J8</f>
        <v>6.6132078427800005</v>
      </c>
      <c r="B140" s="39" t="s">
        <v>227</v>
      </c>
      <c r="D140" s="58" t="s">
        <v>304</v>
      </c>
      <c r="G140" s="59"/>
      <c r="H140" s="59"/>
      <c r="I140" s="59"/>
      <c r="J140" s="59"/>
      <c r="K140" s="59"/>
      <c r="L140" s="59"/>
      <c r="M140" s="59"/>
      <c r="N140" s="59">
        <f>A140/4</f>
        <v>1.6533019606950001</v>
      </c>
      <c r="O140" s="59">
        <f>A140/4</f>
        <v>1.6533019606950001</v>
      </c>
      <c r="P140" s="59">
        <f>A140/4</f>
        <v>1.6533019606950001</v>
      </c>
      <c r="Q140" s="59">
        <f>A140/4</f>
        <v>1.6533019606950001</v>
      </c>
      <c r="R140" s="87"/>
    </row>
    <row r="141" spans="1:18" s="39" customFormat="1" ht="12.75">
      <c r="A141" s="97">
        <f>J7+J9</f>
        <v>16.091732080998</v>
      </c>
      <c r="B141" s="39" t="s">
        <v>227</v>
      </c>
      <c r="D141" s="58" t="s">
        <v>305</v>
      </c>
      <c r="G141" s="59">
        <f>A141/4</f>
        <v>4.0229330202495</v>
      </c>
      <c r="H141" s="59"/>
      <c r="I141" s="59"/>
      <c r="J141" s="59"/>
      <c r="K141" s="59"/>
      <c r="L141" s="59"/>
      <c r="M141" s="59"/>
      <c r="N141" s="59"/>
      <c r="O141" s="59"/>
      <c r="P141" s="59">
        <f>A141/4</f>
        <v>4.0229330202495</v>
      </c>
      <c r="Q141" s="59">
        <f>A141/4</f>
        <v>4.0229330202495</v>
      </c>
      <c r="R141" s="87">
        <f>A141/4</f>
        <v>4.0229330202495</v>
      </c>
    </row>
    <row r="142" spans="1:18" s="39" customFormat="1" ht="12.75">
      <c r="A142" s="54">
        <f>J10</f>
        <v>0.13145244975</v>
      </c>
      <c r="B142" s="39" t="s">
        <v>227</v>
      </c>
      <c r="D142" s="58" t="s">
        <v>306</v>
      </c>
      <c r="G142" s="59"/>
      <c r="H142" s="59"/>
      <c r="I142" s="59"/>
      <c r="J142" s="59"/>
      <c r="K142" s="59"/>
      <c r="L142" s="59"/>
      <c r="M142" s="59"/>
      <c r="N142" s="59"/>
      <c r="O142" s="59">
        <f>A142/4</f>
        <v>0.0328631124375</v>
      </c>
      <c r="P142" s="59">
        <f>A142/4</f>
        <v>0.0328631124375</v>
      </c>
      <c r="Q142" s="59">
        <f>A142/4</f>
        <v>0.0328631124375</v>
      </c>
      <c r="R142" s="87">
        <f>A142/4</f>
        <v>0.0328631124375</v>
      </c>
    </row>
    <row r="143" spans="1:18" s="39" customFormat="1" ht="12.75">
      <c r="A143" s="54">
        <f>DisaggregatedBrewery!W33</f>
        <v>66.45536626905546</v>
      </c>
      <c r="B143" s="39" t="s">
        <v>227</v>
      </c>
      <c r="D143" s="58" t="s">
        <v>307</v>
      </c>
      <c r="G143" s="59">
        <f>A143*G148</f>
        <v>5.1107830248420045</v>
      </c>
      <c r="H143" s="59">
        <f>A143*H148</f>
        <v>5.025313118906516</v>
      </c>
      <c r="I143" s="59">
        <f>A143*I148</f>
        <v>5.819409538178122</v>
      </c>
      <c r="J143" s="59">
        <f>A143*J148</f>
        <v>5.655113544491208</v>
      </c>
      <c r="K143" s="59">
        <f>A143*K148</f>
        <v>6.1386020030930055</v>
      </c>
      <c r="L143" s="59">
        <f>A143*L148</f>
        <v>6.277378997382138</v>
      </c>
      <c r="M143" s="59">
        <f>A143*M148</f>
        <v>6.036325426337486</v>
      </c>
      <c r="N143" s="59">
        <f>A143*N148</f>
        <v>5.956466417679342</v>
      </c>
      <c r="O143" s="59">
        <f>A143*O148</f>
        <v>5.569414189749552</v>
      </c>
      <c r="P143" s="59">
        <f>A143*P148</f>
        <v>5.19497614017076</v>
      </c>
      <c r="Q143" s="59">
        <f>A143*Q148</f>
        <v>5.042299947448832</v>
      </c>
      <c r="R143" s="87">
        <f>A143*R148</f>
        <v>4.629302053676089</v>
      </c>
    </row>
    <row r="144" spans="1:18" s="39" customFormat="1" ht="12.75">
      <c r="A144" s="63"/>
      <c r="B144" s="64"/>
      <c r="C144" s="64"/>
      <c r="D144" s="93" t="s">
        <v>308</v>
      </c>
      <c r="E144" s="64"/>
      <c r="F144" s="64"/>
      <c r="G144" s="89">
        <f aca="true" t="shared" si="28" ref="G144:R144">SUM(G133:G143)</f>
        <v>25.352688695643657</v>
      </c>
      <c r="H144" s="89">
        <f t="shared" si="28"/>
        <v>21.24428576945867</v>
      </c>
      <c r="I144" s="89">
        <f t="shared" si="28"/>
        <v>22.038382188730274</v>
      </c>
      <c r="J144" s="89">
        <f t="shared" si="28"/>
        <v>21.87408619504336</v>
      </c>
      <c r="K144" s="89">
        <f t="shared" si="28"/>
        <v>23.564044396832657</v>
      </c>
      <c r="L144" s="89">
        <f t="shared" si="28"/>
        <v>23.702821391121788</v>
      </c>
      <c r="M144" s="89">
        <f t="shared" si="28"/>
        <v>25.43094832045214</v>
      </c>
      <c r="N144" s="89">
        <f t="shared" si="28"/>
        <v>27.004391272488995</v>
      </c>
      <c r="O144" s="89">
        <f t="shared" si="28"/>
        <v>36.66241199711708</v>
      </c>
      <c r="P144" s="89">
        <f t="shared" si="28"/>
        <v>40.31090696778779</v>
      </c>
      <c r="Q144" s="89">
        <f t="shared" si="28"/>
        <v>40.15823077506586</v>
      </c>
      <c r="R144" s="90">
        <f t="shared" si="28"/>
        <v>38.091930920598124</v>
      </c>
    </row>
    <row r="145" spans="6:18" s="39" customFormat="1" ht="12.75">
      <c r="F145" s="50" t="s">
        <v>310</v>
      </c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2"/>
    </row>
    <row r="146" spans="6:18" s="39" customFormat="1" ht="12.75">
      <c r="F146" s="54" t="s">
        <v>319</v>
      </c>
      <c r="G146" s="82">
        <f>SUM(G133:G143)/SUM(A133:A143)</f>
        <v>0.07339349100921569</v>
      </c>
      <c r="H146" s="82">
        <f>SUM(H133:H143)/SUM(A133:A143)</f>
        <v>0.06150007659289759</v>
      </c>
      <c r="I146" s="82">
        <f>SUM(I133:I143)/SUM(A133:A143)</f>
        <v>0.06379890608226356</v>
      </c>
      <c r="J146" s="82">
        <f>SUM(J133:J143)/SUM(A133:A143)</f>
        <v>0.06332328565871524</v>
      </c>
      <c r="K146" s="82">
        <f>SUM(K133:K143)/SUM(A133:A143)</f>
        <v>0.06821554515742022</v>
      </c>
      <c r="L146" s="82">
        <f>SUM(L133:L143)/SUM(A133:A143)</f>
        <v>0.06861729063715687</v>
      </c>
      <c r="M146" s="82">
        <f>SUM(M133:M143)/SUM(A133:A143)</f>
        <v>0.07362004477393544</v>
      </c>
      <c r="N146" s="82">
        <f>SUM(N133:N143)/SUM(A133:A143)</f>
        <v>0.07817500431058111</v>
      </c>
      <c r="O146" s="82">
        <f>SUM(O133:O143)/SUM(A133:A143)</f>
        <v>0.10613400565080619</v>
      </c>
      <c r="P146" s="82">
        <f>SUM(P133:P143)/SUM(A133:A143)</f>
        <v>0.11669603266268287</v>
      </c>
      <c r="Q146" s="82">
        <f>SUM(Q133:Q143)/SUM(A133:A143)</f>
        <v>0.11625405039751258</v>
      </c>
      <c r="R146" s="94">
        <f>SUM(R133:R143)/SUM(A133:A143)</f>
        <v>0.11027231955973836</v>
      </c>
    </row>
    <row r="147" spans="6:18" s="39" customFormat="1" ht="12.75">
      <c r="F147" s="54" t="s">
        <v>320</v>
      </c>
      <c r="H147" s="95">
        <f>SUM(G146:I146)</f>
        <v>0.19869247368437687</v>
      </c>
      <c r="K147" s="95">
        <f>SUM(J146:L146)</f>
        <v>0.2001561214532923</v>
      </c>
      <c r="N147" s="95">
        <f>SUM(M146:O146)</f>
        <v>0.25792905473532274</v>
      </c>
      <c r="Q147" s="95">
        <f>SUM(P146:R146)</f>
        <v>0.3432224026199338</v>
      </c>
      <c r="R147" s="55"/>
    </row>
    <row r="148" spans="6:18" s="39" customFormat="1" ht="12.75">
      <c r="F148" s="63" t="s">
        <v>321</v>
      </c>
      <c r="G148" s="74">
        <v>0.07690549780660542</v>
      </c>
      <c r="H148" s="74">
        <v>0.07561937283681067</v>
      </c>
      <c r="I148" s="74">
        <v>0.08756869256603428</v>
      </c>
      <c r="J148" s="74">
        <v>0.08509641676784313</v>
      </c>
      <c r="K148" s="74">
        <v>0.09237180302701015</v>
      </c>
      <c r="L148" s="74">
        <v>0.09446007673732681</v>
      </c>
      <c r="M148" s="74">
        <v>0.09083277642167273</v>
      </c>
      <c r="N148" s="74">
        <v>0.0896310825157988</v>
      </c>
      <c r="O148" s="74">
        <v>0.08380683912268069</v>
      </c>
      <c r="P148" s="74">
        <v>0.07817241002236067</v>
      </c>
      <c r="Q148" s="74">
        <v>0.07587498543058589</v>
      </c>
      <c r="R148" s="72">
        <v>0.06966031960359077</v>
      </c>
    </row>
    <row r="149" s="39" customFormat="1" ht="12.75"/>
    <row r="150" spans="6:18" s="39" customFormat="1" ht="12.75">
      <c r="F150" s="62" t="s">
        <v>354</v>
      </c>
      <c r="G150" s="82">
        <f>AVERAGE(G146,G125,G124)</f>
        <v>0.07763428766014867</v>
      </c>
      <c r="H150" s="82">
        <f aca="true" t="shared" si="29" ref="H150:R150">AVERAGE(H146,H125,H124)</f>
        <v>0.06688435684711201</v>
      </c>
      <c r="I150" s="82">
        <f t="shared" si="29"/>
        <v>0.07234573151119915</v>
      </c>
      <c r="J150" s="82">
        <f t="shared" si="29"/>
        <v>0.07121579066830279</v>
      </c>
      <c r="K150" s="82">
        <f t="shared" si="29"/>
        <v>0.07670690309410844</v>
      </c>
      <c r="L150" s="82">
        <f t="shared" si="29"/>
        <v>0.07766133777253709</v>
      </c>
      <c r="M150" s="82">
        <f t="shared" si="29"/>
        <v>0.07953870294275873</v>
      </c>
      <c r="N150" s="82">
        <f t="shared" si="29"/>
        <v>0.0831646632991962</v>
      </c>
      <c r="O150" s="82">
        <f t="shared" si="29"/>
        <v>0.09530079743968671</v>
      </c>
      <c r="P150" s="82">
        <f t="shared" si="29"/>
        <v>0.10288772487542353</v>
      </c>
      <c r="Q150" s="82">
        <f t="shared" si="29"/>
        <v>0.10183769887038795</v>
      </c>
      <c r="R150" s="82">
        <f t="shared" si="29"/>
        <v>0.09482212972762015</v>
      </c>
    </row>
    <row r="151" spans="17:18" s="39" customFormat="1" ht="12.75">
      <c r="Q151" s="69"/>
      <c r="R151" s="69"/>
    </row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  <row r="160" s="39" customFormat="1" ht="12.75"/>
    <row r="161" s="39" customFormat="1" ht="12.75"/>
    <row r="162" s="39" customFormat="1" ht="12.75"/>
    <row r="163" s="39" customFormat="1" ht="12.75"/>
    <row r="164" s="39" customFormat="1" ht="12.75"/>
    <row r="165" s="39" customFormat="1" ht="12.75"/>
    <row r="166" s="39" customFormat="1" ht="12.75"/>
    <row r="167" s="39" customFormat="1" ht="12.75"/>
    <row r="168" s="39" customFormat="1" ht="12.75"/>
    <row r="169" s="39" customFormat="1" ht="12.75"/>
    <row r="170" s="39" customFormat="1" ht="12.75"/>
    <row r="171" s="39" customFormat="1" ht="12.75"/>
    <row r="172" s="39" customFormat="1" ht="12.75"/>
    <row r="173" s="39" customFormat="1" ht="12.75"/>
    <row r="174" s="39" customFormat="1" ht="12.75"/>
    <row r="175" s="39" customFormat="1" ht="12.75"/>
    <row r="176" s="39" customFormat="1" ht="12.75"/>
    <row r="177" s="39" customFormat="1" ht="12.75"/>
    <row r="178" s="39" customFormat="1" ht="12.75"/>
    <row r="179" s="39" customFormat="1" ht="12.75"/>
    <row r="180" s="39" customFormat="1" ht="12.75"/>
    <row r="181" s="39" customFormat="1" ht="12.75"/>
    <row r="182" s="39" customFormat="1" ht="12.75"/>
    <row r="183" s="39" customFormat="1" ht="12.75"/>
    <row r="184" s="39" customFormat="1" ht="12.75"/>
    <row r="185" s="39" customFormat="1" ht="12.75"/>
    <row r="186" s="39" customFormat="1" ht="12.75"/>
    <row r="187" s="39" customFormat="1" ht="12.75"/>
    <row r="188" s="39" customFormat="1" ht="12.75"/>
    <row r="189" s="39" customFormat="1" ht="12.75"/>
    <row r="190" s="39" customFormat="1" ht="12.75"/>
    <row r="191" s="39" customFormat="1" ht="12.75"/>
    <row r="192" s="39" customFormat="1" ht="12.75"/>
    <row r="193" s="39" customFormat="1" ht="12.75"/>
    <row r="194" s="39" customFormat="1" ht="12.75"/>
    <row r="195" s="39" customFormat="1" ht="12.75"/>
    <row r="196" s="39" customFormat="1" ht="12.75"/>
    <row r="197" s="39" customFormat="1" ht="12.75"/>
    <row r="198" s="39" customFormat="1" ht="12.75"/>
    <row r="199" s="39" customFormat="1" ht="12.75"/>
    <row r="200" s="39" customFormat="1" ht="12.75"/>
    <row r="201" s="39" customFormat="1" ht="12.75"/>
    <row r="202" s="39" customFormat="1" ht="12.75"/>
    <row r="203" s="39" customFormat="1" ht="12.75"/>
    <row r="204" s="39" customFormat="1" ht="12.75"/>
    <row r="205" s="39" customFormat="1" ht="12.75"/>
    <row r="206" s="39" customFormat="1" ht="12.75"/>
    <row r="207" s="39" customFormat="1" ht="12.75"/>
    <row r="208" s="39" customFormat="1" ht="12.75"/>
    <row r="209" s="39" customFormat="1" ht="12.75"/>
    <row r="210" s="39" customFormat="1" ht="12.75"/>
    <row r="211" s="39" customFormat="1" ht="12.75"/>
    <row r="212" s="39" customFormat="1" ht="12.75"/>
    <row r="213" s="39" customFormat="1" ht="12.75"/>
    <row r="214" s="39" customFormat="1" ht="12.75"/>
    <row r="215" s="39" customFormat="1" ht="12.75"/>
    <row r="216" s="39" customFormat="1" ht="12.75"/>
    <row r="217" s="39" customFormat="1" ht="12.75"/>
    <row r="218" s="39" customFormat="1" ht="12.75"/>
    <row r="219" s="39" customFormat="1" ht="12.75"/>
    <row r="220" s="39" customFormat="1" ht="12.75"/>
    <row r="221" s="39" customFormat="1" ht="12.75"/>
    <row r="222" s="39" customFormat="1" ht="12.75"/>
    <row r="223" s="39" customFormat="1" ht="12.75"/>
    <row r="224" s="39" customFormat="1" ht="12.75"/>
    <row r="225" s="39" customFormat="1" ht="12.75"/>
    <row r="226" s="39" customFormat="1" ht="12.75"/>
    <row r="227" s="39" customFormat="1" ht="12.75"/>
    <row r="228" s="39" customFormat="1" ht="12.75"/>
    <row r="229" s="39" customFormat="1" ht="12.75"/>
    <row r="230" s="39" customFormat="1" ht="12.75"/>
    <row r="231" s="39" customFormat="1" ht="12.75"/>
    <row r="232" s="39" customFormat="1" ht="12.75"/>
    <row r="233" s="39" customFormat="1" ht="12.75"/>
    <row r="234" s="39" customFormat="1" ht="12.75"/>
    <row r="235" s="39" customFormat="1" ht="12.75"/>
    <row r="236" s="39" customFormat="1" ht="12.75"/>
    <row r="237" s="39" customFormat="1" ht="12.75"/>
    <row r="238" s="39" customFormat="1" ht="12.75"/>
    <row r="239" s="39" customFormat="1" ht="12.75"/>
    <row r="240" s="39" customFormat="1" ht="12.75"/>
    <row r="241" s="39" customFormat="1" ht="12.75"/>
    <row r="242" s="39" customFormat="1" ht="12.75"/>
    <row r="243" s="39" customFormat="1" ht="12.75"/>
    <row r="244" s="39" customFormat="1" ht="12.75"/>
    <row r="245" s="39" customFormat="1" ht="12.75"/>
    <row r="246" s="39" customFormat="1" ht="12.75"/>
    <row r="247" s="39" customFormat="1" ht="12.75"/>
    <row r="248" s="39" customFormat="1" ht="12.75"/>
    <row r="249" s="39" customFormat="1" ht="12.75"/>
    <row r="250" s="39" customFormat="1" ht="12.75"/>
    <row r="251" s="39" customFormat="1" ht="12.75"/>
    <row r="252" s="39" customFormat="1" ht="12.75"/>
    <row r="253" s="39" customFormat="1" ht="12.75"/>
    <row r="254" s="39" customFormat="1" ht="12.75"/>
    <row r="255" s="39" customFormat="1" ht="12.75"/>
    <row r="256" s="39" customFormat="1" ht="12.75"/>
    <row r="257" s="39" customFormat="1" ht="12.75"/>
    <row r="258" s="39" customFormat="1" ht="12.75"/>
    <row r="259" s="39" customFormat="1" ht="12.75"/>
    <row r="260" s="39" customFormat="1" ht="12.75"/>
    <row r="261" s="39" customFormat="1" ht="12.75"/>
    <row r="262" s="39" customFormat="1" ht="12.75"/>
    <row r="263" s="39" customFormat="1" ht="12.75"/>
    <row r="264" s="39" customFormat="1" ht="12.75"/>
    <row r="265" s="39" customFormat="1" ht="12.75"/>
    <row r="266" s="39" customFormat="1" ht="12.75"/>
    <row r="267" s="39" customFormat="1" ht="12.75"/>
    <row r="268" s="39" customFormat="1" ht="12.75"/>
    <row r="269" s="39" customFormat="1" ht="12.75"/>
    <row r="270" s="39" customFormat="1" ht="12.75"/>
    <row r="271" s="39" customFormat="1" ht="12.75"/>
    <row r="272" s="39" customFormat="1" ht="12.75"/>
    <row r="273" s="39" customFormat="1" ht="12.75"/>
    <row r="274" s="39" customFormat="1" ht="12.75"/>
    <row r="275" s="39" customFormat="1" ht="12.75"/>
    <row r="276" s="39" customFormat="1" ht="12.75"/>
    <row r="277" s="39" customFormat="1" ht="12.75"/>
    <row r="278" s="39" customFormat="1" ht="12.75"/>
    <row r="279" s="39" customFormat="1" ht="12.75"/>
    <row r="280" s="39" customFormat="1" ht="12.75"/>
    <row r="281" s="39" customFormat="1" ht="12.75"/>
    <row r="282" s="39" customFormat="1" ht="12.75"/>
    <row r="283" s="39" customFormat="1" ht="12.75"/>
    <row r="284" s="39" customFormat="1" ht="12.75"/>
    <row r="285" s="39" customFormat="1" ht="12.75"/>
    <row r="286" s="39" customFormat="1" ht="12.75"/>
    <row r="287" s="39" customFormat="1" ht="12.75"/>
    <row r="288" s="39" customFormat="1" ht="12.75"/>
    <row r="289" s="39" customFormat="1" ht="12.75"/>
    <row r="290" s="39" customFormat="1" ht="12.75"/>
    <row r="291" s="39" customFormat="1" ht="12.75"/>
    <row r="292" s="39" customFormat="1" ht="12.75"/>
    <row r="293" s="39" customFormat="1" ht="12.75"/>
    <row r="294" s="39" customFormat="1" ht="12.75"/>
    <row r="295" s="39" customFormat="1" ht="12.75"/>
    <row r="296" s="39" customFormat="1" ht="12.75"/>
    <row r="297" s="39" customFormat="1" ht="12.75"/>
    <row r="298" s="39" customFormat="1" ht="12.75"/>
    <row r="299" s="39" customFormat="1" ht="12.75"/>
    <row r="300" s="39" customFormat="1" ht="12.75"/>
    <row r="301" s="39" customFormat="1" ht="12.75"/>
    <row r="302" s="39" customFormat="1" ht="12.75"/>
    <row r="303" s="39" customFormat="1" ht="12.75"/>
    <row r="304" s="39" customFormat="1" ht="12.75"/>
    <row r="305" s="39" customFormat="1" ht="12.75"/>
    <row r="306" s="39" customFormat="1" ht="12.75"/>
    <row r="307" s="39" customFormat="1" ht="12.75"/>
    <row r="308" s="39" customFormat="1" ht="12.75"/>
    <row r="309" s="39" customFormat="1" ht="12.75"/>
    <row r="310" s="39" customFormat="1" ht="12.75"/>
    <row r="311" s="39" customFormat="1" ht="12.75"/>
    <row r="312" s="39" customFormat="1" ht="12.75"/>
    <row r="313" s="39" customFormat="1" ht="12.75"/>
    <row r="314" s="39" customFormat="1" ht="12.75"/>
    <row r="315" spans="17:30" ht="12.75"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Coe</dc:creator>
  <cp:keywords/>
  <dc:description/>
  <cp:lastModifiedBy> </cp:lastModifiedBy>
  <dcterms:created xsi:type="dcterms:W3CDTF">2001-06-25T22:19:39Z</dcterms:created>
  <dcterms:modified xsi:type="dcterms:W3CDTF">2002-10-29T00:20:39Z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