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18930" windowHeight="5895" tabRatio="785"/>
  </bookViews>
  <sheets>
    <sheet name="Information" sheetId="91" r:id="rId1"/>
    <sheet name="Table 9-4" sheetId="76" r:id="rId2"/>
    <sheet name="Form 1.5a" sheetId="55" r:id="rId3"/>
    <sheet name="Form 1.1c" sheetId="28" r:id="rId4"/>
    <sheet name="Alameda" sheetId="82" r:id="rId5"/>
    <sheet name="Anza" sheetId="38" r:id="rId6"/>
    <sheet name="CCSF" sheetId="29" r:id="rId7"/>
    <sheet name="Anaheim" sheetId="8" r:id="rId8"/>
    <sheet name="Azusa" sheetId="33" r:id="rId9"/>
    <sheet name="Banning" sheetId="39" r:id="rId10"/>
    <sheet name="Biggs" sheetId="90" r:id="rId11"/>
    <sheet name="Burbank" sheetId="15" r:id="rId12"/>
    <sheet name="Cerritos" sheetId="44" r:id="rId13"/>
    <sheet name="Colton" sheetId="31" r:id="rId14"/>
    <sheet name="Corona" sheetId="36" r:id="rId15"/>
    <sheet name="Glendale" sheetId="16" r:id="rId16"/>
    <sheet name="Healdsburg" sheetId="87" r:id="rId17"/>
    <sheet name="Industry" sheetId="46" r:id="rId18"/>
    <sheet name="Lodi" sheetId="81" r:id="rId19"/>
    <sheet name="Lompoc" sheetId="84" r:id="rId20"/>
    <sheet name="MorenoValley" sheetId="40" r:id="rId21"/>
    <sheet name="Needles" sheetId="45" r:id="rId22"/>
    <sheet name="Oakland" sheetId="88" r:id="rId23"/>
    <sheet name="Palo Alto" sheetId="80" r:id="rId24"/>
    <sheet name="RanchoCucamonga" sheetId="42" r:id="rId25"/>
    <sheet name="Riverside" sheetId="11" r:id="rId26"/>
    <sheet name="Roseville" sheetId="18" r:id="rId27"/>
    <sheet name="ShastaLake" sheetId="34" r:id="rId28"/>
    <sheet name="Ukiah" sheetId="86" r:id="rId29"/>
    <sheet name="Vernon" sheetId="19" r:id="rId30"/>
    <sheet name="Victorville" sheetId="43" r:id="rId31"/>
    <sheet name="Eastside" sheetId="48" r:id="rId32"/>
    <sheet name="GoldenState" sheetId="72" r:id="rId33"/>
    <sheet name="Gridley" sheetId="89" r:id="rId34"/>
    <sheet name="ImperialID" sheetId="9" r:id="rId35"/>
    <sheet name="Kirkwood" sheetId="50" r:id="rId36"/>
    <sheet name="Lassen" sheetId="37" r:id="rId37"/>
    <sheet name="Liberty" sheetId="71" r:id="rId38"/>
    <sheet name="LADWP" sheetId="6" r:id="rId39"/>
    <sheet name="MercedID" sheetId="30" r:id="rId40"/>
    <sheet name="ModestoID" sheetId="2" r:id="rId41"/>
    <sheet name="PGE" sheetId="3" r:id="rId42"/>
    <sheet name="PacifiCorp" sheetId="79" r:id="rId43"/>
    <sheet name="Pasadena" sheetId="14" r:id="rId44"/>
    <sheet name="Pittsburg" sheetId="49" r:id="rId45"/>
    <sheet name="PlumasSierra" sheetId="83" r:id="rId46"/>
    <sheet name="PWRPA" sheetId="35" r:id="rId47"/>
    <sheet name="Redding" sheetId="17" r:id="rId48"/>
    <sheet name="SMUD" sheetId="7" r:id="rId49"/>
    <sheet name="SDGE" sheetId="5" r:id="rId50"/>
    <sheet name="SiliconValley" sheetId="10" r:id="rId51"/>
    <sheet name="SCE" sheetId="4" r:id="rId52"/>
    <sheet name="Stockton" sheetId="47" r:id="rId53"/>
    <sheet name="SurpriseValley" sheetId="41" r:id="rId54"/>
    <sheet name="TruckeeDonner" sheetId="32" r:id="rId55"/>
    <sheet name="TurlockID" sheetId="13" r:id="rId56"/>
    <sheet name="ValleyElectric" sheetId="51" r:id="rId57"/>
    <sheet name="WAPA" sheetId="58" r:id="rId58"/>
  </sheets>
  <externalReferences>
    <externalReference r:id="rId59"/>
    <externalReference r:id="rId60"/>
    <externalReference r:id="rId61"/>
    <externalReference r:id="rId62"/>
    <externalReference r:id="rId63"/>
  </externalReferences>
  <definedNames>
    <definedName name="_foo1" localSheetId="4"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10"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33"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18"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19"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2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4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23"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45"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28"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2" localSheetId="4"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10"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33"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16"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18"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19"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2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4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23"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45"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28"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3" localSheetId="4" hidden="1">{#N/A,#N/A,FALSE,"Res - Unadj";#N/A,#N/A,FALSE,"Small L&amp;P";#N/A,#N/A,FALSE,"Medium L&amp;P";#N/A,#N/A,FALSE,"E-19";#N/A,#N/A,FALSE,"E-20";#N/A,#N/A,FALSE,"A-RTP";#N/A,#N/A,FALSE,"Strtlts &amp; Standby";#N/A,#N/A,FALSE,"AG";#N/A,#N/A,FALSE,"2001mixeduse"}</definedName>
    <definedName name="_foo3" localSheetId="10" hidden="1">{#N/A,#N/A,FALSE,"Res - Unadj";#N/A,#N/A,FALSE,"Small L&amp;P";#N/A,#N/A,FALSE,"Medium L&amp;P";#N/A,#N/A,FALSE,"E-19";#N/A,#N/A,FALSE,"E-20";#N/A,#N/A,FALSE,"A-RTP";#N/A,#N/A,FALSE,"Strtlts &amp; Standby";#N/A,#N/A,FALSE,"AG";#N/A,#N/A,FALSE,"2001mixeduse"}</definedName>
    <definedName name="_foo3" localSheetId="33" hidden="1">{#N/A,#N/A,FALSE,"Res - Unadj";#N/A,#N/A,FALSE,"Small L&amp;P";#N/A,#N/A,FALSE,"Medium L&amp;P";#N/A,#N/A,FALSE,"E-19";#N/A,#N/A,FALSE,"E-20";#N/A,#N/A,FALSE,"A-RTP";#N/A,#N/A,FALSE,"Strtlts &amp; Standby";#N/A,#N/A,FALSE,"AG";#N/A,#N/A,FALSE,"2001mixeduse"}</definedName>
    <definedName name="_foo3" localSheetId="16" hidden="1">{#N/A,#N/A,FALSE,"Res - Unadj";#N/A,#N/A,FALSE,"Small L&amp;P";#N/A,#N/A,FALSE,"Medium L&amp;P";#N/A,#N/A,FALSE,"E-19";#N/A,#N/A,FALSE,"E-20";#N/A,#N/A,FALSE,"A-RTP";#N/A,#N/A,FALSE,"Strtlts &amp; Standby";#N/A,#N/A,FALSE,"AG";#N/A,#N/A,FALSE,"2001mixeduse"}</definedName>
    <definedName name="_foo3" localSheetId="18" hidden="1">{#N/A,#N/A,FALSE,"Res - Unadj";#N/A,#N/A,FALSE,"Small L&amp;P";#N/A,#N/A,FALSE,"Medium L&amp;P";#N/A,#N/A,FALSE,"E-19";#N/A,#N/A,FALSE,"E-20";#N/A,#N/A,FALSE,"A-RTP";#N/A,#N/A,FALSE,"Strtlts &amp; Standby";#N/A,#N/A,FALSE,"AG";#N/A,#N/A,FALSE,"2001mixeduse"}</definedName>
    <definedName name="_foo3" localSheetId="19" hidden="1">{#N/A,#N/A,FALSE,"Res - Unadj";#N/A,#N/A,FALSE,"Small L&amp;P";#N/A,#N/A,FALSE,"Medium L&amp;P";#N/A,#N/A,FALSE,"E-19";#N/A,#N/A,FALSE,"E-20";#N/A,#N/A,FALSE,"A-RTP";#N/A,#N/A,FALSE,"Strtlts &amp; Standby";#N/A,#N/A,FALSE,"AG";#N/A,#N/A,FALSE,"2001mixeduse"}</definedName>
    <definedName name="_foo3" localSheetId="22" hidden="1">{#N/A,#N/A,FALSE,"Res - Unadj";#N/A,#N/A,FALSE,"Small L&amp;P";#N/A,#N/A,FALSE,"Medium L&amp;P";#N/A,#N/A,FALSE,"E-19";#N/A,#N/A,FALSE,"E-20";#N/A,#N/A,FALSE,"A-RTP";#N/A,#N/A,FALSE,"Strtlts &amp; Standby";#N/A,#N/A,FALSE,"AG";#N/A,#N/A,FALSE,"2001mixeduse"}</definedName>
    <definedName name="_foo3" localSheetId="42" hidden="1">{#N/A,#N/A,FALSE,"Res - Unadj";#N/A,#N/A,FALSE,"Small L&amp;P";#N/A,#N/A,FALSE,"Medium L&amp;P";#N/A,#N/A,FALSE,"E-19";#N/A,#N/A,FALSE,"E-20";#N/A,#N/A,FALSE,"A-RTP";#N/A,#N/A,FALSE,"Strtlts &amp; Standby";#N/A,#N/A,FALSE,"AG";#N/A,#N/A,FALSE,"2001mixeduse"}</definedName>
    <definedName name="_foo3" localSheetId="23" hidden="1">{#N/A,#N/A,FALSE,"Res - Unadj";#N/A,#N/A,FALSE,"Small L&amp;P";#N/A,#N/A,FALSE,"Medium L&amp;P";#N/A,#N/A,FALSE,"E-19";#N/A,#N/A,FALSE,"E-20";#N/A,#N/A,FALSE,"A-RTP";#N/A,#N/A,FALSE,"Strtlts &amp; Standby";#N/A,#N/A,FALSE,"AG";#N/A,#N/A,FALSE,"2001mixeduse"}</definedName>
    <definedName name="_foo3" localSheetId="45" hidden="1">{#N/A,#N/A,FALSE,"Res - Unadj";#N/A,#N/A,FALSE,"Small L&amp;P";#N/A,#N/A,FALSE,"Medium L&amp;P";#N/A,#N/A,FALSE,"E-19";#N/A,#N/A,FALSE,"E-20";#N/A,#N/A,FALSE,"A-RTP";#N/A,#N/A,FALSE,"Strtlts &amp; Standby";#N/A,#N/A,FALSE,"AG";#N/A,#N/A,FALSE,"2001mixeduse"}</definedName>
    <definedName name="_foo3" localSheetId="28" hidden="1">{#N/A,#N/A,FALSE,"Res - Unadj";#N/A,#N/A,FALSE,"Small L&amp;P";#N/A,#N/A,FALSE,"Medium L&amp;P";#N/A,#N/A,FALSE,"E-19";#N/A,#N/A,FALSE,"E-20";#N/A,#N/A,FALSE,"A-RTP";#N/A,#N/A,FALSE,"Strtlts &amp; Standby";#N/A,#N/A,FALSE,"AG";#N/A,#N/A,FALSE,"2001mixeduse"}</definedName>
    <definedName name="_foo3" hidden="1">{#N/A,#N/A,FALSE,"Res - Unadj";#N/A,#N/A,FALSE,"Small L&amp;P";#N/A,#N/A,FALSE,"Medium L&amp;P";#N/A,#N/A,FALSE,"E-19";#N/A,#N/A,FALSE,"E-20";#N/A,#N/A,FALSE,"A-RTP";#N/A,#N/A,FALSE,"Strtlts &amp; Standby";#N/A,#N/A,FALSE,"AG";#N/A,#N/A,FALSE,"2001mixeduse"}</definedName>
    <definedName name="_foo4" localSheetId="4" hidden="1">{"Summary","1",FALSE,"Summary"}</definedName>
    <definedName name="_foo4" localSheetId="10" hidden="1">{"Summary","1",FALSE,"Summary"}</definedName>
    <definedName name="_foo4" localSheetId="33" hidden="1">{"Summary","1",FALSE,"Summary"}</definedName>
    <definedName name="_foo4" localSheetId="16" hidden="1">{"Summary","1",FALSE,"Summary"}</definedName>
    <definedName name="_foo4" localSheetId="18" hidden="1">{"Summary","1",FALSE,"Summary"}</definedName>
    <definedName name="_foo4" localSheetId="19" hidden="1">{"Summary","1",FALSE,"Summary"}</definedName>
    <definedName name="_foo4" localSheetId="22" hidden="1">{"Summary","1",FALSE,"Summary"}</definedName>
    <definedName name="_foo4" localSheetId="42" hidden="1">{"Summary","1",FALSE,"Summary"}</definedName>
    <definedName name="_foo4" localSheetId="23" hidden="1">{"Summary","1",FALSE,"Summary"}</definedName>
    <definedName name="_foo4" localSheetId="45" hidden="1">{"Summary","1",FALSE,"Summary"}</definedName>
    <definedName name="_foo4" localSheetId="28" hidden="1">{"Summary","1",FALSE,"Summary"}</definedName>
    <definedName name="_foo4" hidden="1">{"Summary","1",FALSE,"Summary"}</definedName>
    <definedName name="_Order1" hidden="1">255</definedName>
    <definedName name="_Order2" hidden="1">255</definedName>
    <definedName name="anscount" hidden="1">3</definedName>
    <definedName name="cf" localSheetId="4">#REF!</definedName>
    <definedName name="cf" localSheetId="10">#REF!</definedName>
    <definedName name="cf" localSheetId="2">#REF!</definedName>
    <definedName name="cf" localSheetId="33">#REF!</definedName>
    <definedName name="cf" localSheetId="16">#REF!</definedName>
    <definedName name="cf" localSheetId="18">#REF!</definedName>
    <definedName name="cf" localSheetId="19">#REF!</definedName>
    <definedName name="cf" localSheetId="22">#REF!</definedName>
    <definedName name="cf" localSheetId="42">#REF!</definedName>
    <definedName name="cf" localSheetId="23">#REF!</definedName>
    <definedName name="cf" localSheetId="45">#REF!</definedName>
    <definedName name="cf" localSheetId="1">#REF!</definedName>
    <definedName name="cf" localSheetId="28">#REF!</definedName>
    <definedName name="cf">#REF!</definedName>
    <definedName name="ComName">'[1]FormList&amp;FilerInfo'!$B$2</definedName>
    <definedName name="CoName" localSheetId="2">'[2]FormList&amp;FilerInfo'!$C$3</definedName>
    <definedName name="CoName">'[2]FormList&amp;FilerInfo'!$C$3</definedName>
    <definedName name="EarningsModel" localSheetId="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1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3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16"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1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19"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2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4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2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4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2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foo" localSheetId="4"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10"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3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16"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1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19"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2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4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2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45"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2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HTML_CodePage" hidden="1">1252</definedName>
    <definedName name="HTML_Control" localSheetId="4" hidden="1">{"'Summary'!$A$1:$J$24"}</definedName>
    <definedName name="HTML_Control" localSheetId="10" hidden="1">{"'Summary'!$A$1:$J$24"}</definedName>
    <definedName name="HTML_Control" localSheetId="33" hidden="1">{"'Summary'!$A$1:$J$24"}</definedName>
    <definedName name="HTML_Control" localSheetId="16" hidden="1">{"'Summary'!$A$1:$J$24"}</definedName>
    <definedName name="HTML_Control" localSheetId="18" hidden="1">{"'Summary'!$A$1:$J$24"}</definedName>
    <definedName name="HTML_Control" localSheetId="19" hidden="1">{"'Summary'!$A$1:$J$24"}</definedName>
    <definedName name="HTML_Control" localSheetId="22" hidden="1">{"'Summary'!$A$1:$J$24"}</definedName>
    <definedName name="HTML_Control" localSheetId="42" hidden="1">{"'Summary'!$A$1:$J$24"}</definedName>
    <definedName name="HTML_Control" localSheetId="23" hidden="1">{"'Summary'!$A$1:$J$24"}</definedName>
    <definedName name="HTML_Control" localSheetId="45" hidden="1">{"'Summary'!$A$1:$J$24"}</definedName>
    <definedName name="HTML_Control" localSheetId="28" hidden="1">{"'Summary'!$A$1:$J$24"}</definedName>
    <definedName name="HTML_Control" hidden="1">{"'Summary'!$A$1:$J$24"}</definedName>
    <definedName name="HTML_Description" hidden="1">""</definedName>
    <definedName name="HTML_Email" hidden="1">""</definedName>
    <definedName name="HTML_Header" hidden="1">""</definedName>
    <definedName name="HTML_LastUpdate" hidden="1">"10/13/1999"</definedName>
    <definedName name="HTML_LineAfter" hidden="1">FALSE</definedName>
    <definedName name="HTML_LineBefore" hidden="1">FALSE</definedName>
    <definedName name="HTML_Name" hidden="1">"Sharim Chaudhury"</definedName>
    <definedName name="HTML_OBDlg2" hidden="1">TRUE</definedName>
    <definedName name="HTML_OBDlg4" hidden="1">TRUE</definedName>
    <definedName name="HTML_OS" hidden="1">0</definedName>
    <definedName name="HTML_PathFile" hidden="1">"W:\19991013\default.htm"</definedName>
    <definedName name="HTML_PathFileMac" hidden="1">"Web Site Backup:sitingcases:MyHTML.html"</definedName>
    <definedName name="HTML_Title" hidden="1">"Daily MTM  Report"</definedName>
    <definedName name="Jurisdictions">'[3]Other Lookups'!$B$37:$B$52</definedName>
    <definedName name="limcount" hidden="1">3</definedName>
    <definedName name="LSE">'[3]Other Lookups'!$F$20:$F$137</definedName>
    <definedName name="LSEENERGYFORTABLES" localSheetId="4">#REF!</definedName>
    <definedName name="LSEENERGYFORTABLES" localSheetId="10">#REF!</definedName>
    <definedName name="LSEENERGYFORTABLES" localSheetId="2">#REF!</definedName>
    <definedName name="LSEENERGYFORTABLES" localSheetId="33">#REF!</definedName>
    <definedName name="LSEENERGYFORTABLES" localSheetId="16">#REF!</definedName>
    <definedName name="LSEENERGYFORTABLES" localSheetId="18">#REF!</definedName>
    <definedName name="LSEENERGYFORTABLES" localSheetId="19">#REF!</definedName>
    <definedName name="LSEENERGYFORTABLES" localSheetId="22">#REF!</definedName>
    <definedName name="LSEENERGYFORTABLES" localSheetId="42">#REF!</definedName>
    <definedName name="LSEENERGYFORTABLES" localSheetId="23">#REF!</definedName>
    <definedName name="LSEENERGYFORTABLES" localSheetId="45">#REF!</definedName>
    <definedName name="LSEENERGYFORTABLES" localSheetId="1">#REF!</definedName>
    <definedName name="LSEENERGYFORTABLES" localSheetId="28">#REF!</definedName>
    <definedName name="LSEENERGYFORTABLES">#REF!</definedName>
    <definedName name="newname" localSheetId="4" hidden="1">{"Summary","1",FALSE,"Summary"}</definedName>
    <definedName name="newname" localSheetId="10" hidden="1">{"Summary","1",FALSE,"Summary"}</definedName>
    <definedName name="newname" localSheetId="33" hidden="1">{"Summary","1",FALSE,"Summary"}</definedName>
    <definedName name="newname" localSheetId="16" hidden="1">{"Summary","1",FALSE,"Summary"}</definedName>
    <definedName name="newname" localSheetId="18" hidden="1">{"Summary","1",FALSE,"Summary"}</definedName>
    <definedName name="newname" localSheetId="19" hidden="1">{"Summary","1",FALSE,"Summary"}</definedName>
    <definedName name="newname" localSheetId="22" hidden="1">{"Summary","1",FALSE,"Summary"}</definedName>
    <definedName name="newname" localSheetId="42" hidden="1">{"Summary","1",FALSE,"Summary"}</definedName>
    <definedName name="newname" localSheetId="23" hidden="1">{"Summary","1",FALSE,"Summary"}</definedName>
    <definedName name="newname" localSheetId="45" hidden="1">{"Summary","1",FALSE,"Summary"}</definedName>
    <definedName name="newname" localSheetId="28" hidden="1">{"Summary","1",FALSE,"Summary"}</definedName>
    <definedName name="newname" hidden="1">{"Summary","1",FALSE,"Summary"}</definedName>
    <definedName name="Point">[4]POR.POD!$A$2:$A$900</definedName>
    <definedName name="Point2">[3]POR.POD!$C$6:$C$902</definedName>
    <definedName name="print" localSheetId="4">#REF!</definedName>
    <definedName name="print" localSheetId="10">#REF!</definedName>
    <definedName name="print" localSheetId="2">#REF!</definedName>
    <definedName name="print" localSheetId="33">#REF!</definedName>
    <definedName name="print" localSheetId="16">#REF!</definedName>
    <definedName name="print" localSheetId="18">#REF!</definedName>
    <definedName name="print" localSheetId="19">#REF!</definedName>
    <definedName name="print" localSheetId="22">#REF!</definedName>
    <definedName name="print" localSheetId="42">#REF!</definedName>
    <definedName name="print" localSheetId="23">#REF!</definedName>
    <definedName name="print" localSheetId="45">#REF!</definedName>
    <definedName name="print" localSheetId="1">#REF!</definedName>
    <definedName name="print" localSheetId="28">#REF!</definedName>
    <definedName name="print">#REF!</definedName>
    <definedName name="Relationship">'[3]Other Lookups'!$D$2:$D$7</definedName>
    <definedName name="SCALARS">[5]BApeakTable1in10!$A$93:$D$108</definedName>
    <definedName name="sencount" hidden="1">1</definedName>
    <definedName name="Wind" localSheetId="4" hidden="1">{#N/A,#N/A,FALSE,"Res - Unadj";#N/A,#N/A,FALSE,"Small L&amp;P";#N/A,#N/A,FALSE,"Medium L&amp;P";#N/A,#N/A,FALSE,"E-19";#N/A,#N/A,FALSE,"E-20";#N/A,#N/A,FALSE,"A-RTP";#N/A,#N/A,FALSE,"Strtlts &amp; Standby";#N/A,#N/A,FALSE,"AG";#N/A,#N/A,FALSE,"2001mixeduse"}</definedName>
    <definedName name="Wind" localSheetId="10" hidden="1">{#N/A,#N/A,FALSE,"Res - Unadj";#N/A,#N/A,FALSE,"Small L&amp;P";#N/A,#N/A,FALSE,"Medium L&amp;P";#N/A,#N/A,FALSE,"E-19";#N/A,#N/A,FALSE,"E-20";#N/A,#N/A,FALSE,"A-RTP";#N/A,#N/A,FALSE,"Strtlts &amp; Standby";#N/A,#N/A,FALSE,"AG";#N/A,#N/A,FALSE,"2001mixeduse"}</definedName>
    <definedName name="Wind" localSheetId="33" hidden="1">{#N/A,#N/A,FALSE,"Res - Unadj";#N/A,#N/A,FALSE,"Small L&amp;P";#N/A,#N/A,FALSE,"Medium L&amp;P";#N/A,#N/A,FALSE,"E-19";#N/A,#N/A,FALSE,"E-20";#N/A,#N/A,FALSE,"A-RTP";#N/A,#N/A,FALSE,"Strtlts &amp; Standby";#N/A,#N/A,FALSE,"AG";#N/A,#N/A,FALSE,"2001mixeduse"}</definedName>
    <definedName name="Wind" localSheetId="16" hidden="1">{#N/A,#N/A,FALSE,"Res - Unadj";#N/A,#N/A,FALSE,"Small L&amp;P";#N/A,#N/A,FALSE,"Medium L&amp;P";#N/A,#N/A,FALSE,"E-19";#N/A,#N/A,FALSE,"E-20";#N/A,#N/A,FALSE,"A-RTP";#N/A,#N/A,FALSE,"Strtlts &amp; Standby";#N/A,#N/A,FALSE,"AG";#N/A,#N/A,FALSE,"2001mixeduse"}</definedName>
    <definedName name="Wind" localSheetId="18" hidden="1">{#N/A,#N/A,FALSE,"Res - Unadj";#N/A,#N/A,FALSE,"Small L&amp;P";#N/A,#N/A,FALSE,"Medium L&amp;P";#N/A,#N/A,FALSE,"E-19";#N/A,#N/A,FALSE,"E-20";#N/A,#N/A,FALSE,"A-RTP";#N/A,#N/A,FALSE,"Strtlts &amp; Standby";#N/A,#N/A,FALSE,"AG";#N/A,#N/A,FALSE,"2001mixeduse"}</definedName>
    <definedName name="Wind" localSheetId="19" hidden="1">{#N/A,#N/A,FALSE,"Res - Unadj";#N/A,#N/A,FALSE,"Small L&amp;P";#N/A,#N/A,FALSE,"Medium L&amp;P";#N/A,#N/A,FALSE,"E-19";#N/A,#N/A,FALSE,"E-20";#N/A,#N/A,FALSE,"A-RTP";#N/A,#N/A,FALSE,"Strtlts &amp; Standby";#N/A,#N/A,FALSE,"AG";#N/A,#N/A,FALSE,"2001mixeduse"}</definedName>
    <definedName name="Wind" localSheetId="22" hidden="1">{#N/A,#N/A,FALSE,"Res - Unadj";#N/A,#N/A,FALSE,"Small L&amp;P";#N/A,#N/A,FALSE,"Medium L&amp;P";#N/A,#N/A,FALSE,"E-19";#N/A,#N/A,FALSE,"E-20";#N/A,#N/A,FALSE,"A-RTP";#N/A,#N/A,FALSE,"Strtlts &amp; Standby";#N/A,#N/A,FALSE,"AG";#N/A,#N/A,FALSE,"2001mixeduse"}</definedName>
    <definedName name="Wind" localSheetId="42" hidden="1">{#N/A,#N/A,FALSE,"Res - Unadj";#N/A,#N/A,FALSE,"Small L&amp;P";#N/A,#N/A,FALSE,"Medium L&amp;P";#N/A,#N/A,FALSE,"E-19";#N/A,#N/A,FALSE,"E-20";#N/A,#N/A,FALSE,"A-RTP";#N/A,#N/A,FALSE,"Strtlts &amp; Standby";#N/A,#N/A,FALSE,"AG";#N/A,#N/A,FALSE,"2001mixeduse"}</definedName>
    <definedName name="Wind" localSheetId="23" hidden="1">{#N/A,#N/A,FALSE,"Res - Unadj";#N/A,#N/A,FALSE,"Small L&amp;P";#N/A,#N/A,FALSE,"Medium L&amp;P";#N/A,#N/A,FALSE,"E-19";#N/A,#N/A,FALSE,"E-20";#N/A,#N/A,FALSE,"A-RTP";#N/A,#N/A,FALSE,"Strtlts &amp; Standby";#N/A,#N/A,FALSE,"AG";#N/A,#N/A,FALSE,"2001mixeduse"}</definedName>
    <definedName name="Wind" localSheetId="45" hidden="1">{#N/A,#N/A,FALSE,"Res - Unadj";#N/A,#N/A,FALSE,"Small L&amp;P";#N/A,#N/A,FALSE,"Medium L&amp;P";#N/A,#N/A,FALSE,"E-19";#N/A,#N/A,FALSE,"E-20";#N/A,#N/A,FALSE,"A-RTP";#N/A,#N/A,FALSE,"Strtlts &amp; Standby";#N/A,#N/A,FALSE,"AG";#N/A,#N/A,FALSE,"2001mixeduse"}</definedName>
    <definedName name="Wind" localSheetId="28" hidden="1">{#N/A,#N/A,FALSE,"Res - Unadj";#N/A,#N/A,FALSE,"Small L&amp;P";#N/A,#N/A,FALSE,"Medium L&amp;P";#N/A,#N/A,FALSE,"E-19";#N/A,#N/A,FALSE,"E-20";#N/A,#N/A,FALSE,"A-RTP";#N/A,#N/A,FALSE,"Strtlts &amp; Standby";#N/A,#N/A,FALSE,"AG";#N/A,#N/A,FALSE,"2001mixeduse"}</definedName>
    <definedName name="Wind" hidden="1">{#N/A,#N/A,FALSE,"Res - Unadj";#N/A,#N/A,FALSE,"Small L&amp;P";#N/A,#N/A,FALSE,"Medium L&amp;P";#N/A,#N/A,FALSE,"E-19";#N/A,#N/A,FALSE,"E-20";#N/A,#N/A,FALSE,"A-RTP";#N/A,#N/A,FALSE,"Strtlts &amp; Standby";#N/A,#N/A,FALSE,"AG";#N/A,#N/A,FALSE,"2001mixeduse"}</definedName>
    <definedName name="wrn.Print._.1_8." localSheetId="4"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10"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3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16"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1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19"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2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4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2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45"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2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4"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10"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33"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18"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19"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2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4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23"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45"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28"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out." localSheetId="4"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10"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33"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16"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18"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19"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2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4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23"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45"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28"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schedules." localSheetId="4" hidden="1">{#N/A,#N/A,FALSE,"Res - Unadj";#N/A,#N/A,FALSE,"Small L&amp;P";#N/A,#N/A,FALSE,"Medium L&amp;P";#N/A,#N/A,FALSE,"E-19";#N/A,#N/A,FALSE,"E-20";#N/A,#N/A,FALSE,"A-RTP";#N/A,#N/A,FALSE,"Strtlts &amp; Standby";#N/A,#N/A,FALSE,"AG";#N/A,#N/A,FALSE,"2001mixeduse"}</definedName>
    <definedName name="wrn.schedules." localSheetId="10" hidden="1">{#N/A,#N/A,FALSE,"Res - Unadj";#N/A,#N/A,FALSE,"Small L&amp;P";#N/A,#N/A,FALSE,"Medium L&amp;P";#N/A,#N/A,FALSE,"E-19";#N/A,#N/A,FALSE,"E-20";#N/A,#N/A,FALSE,"A-RTP";#N/A,#N/A,FALSE,"Strtlts &amp; Standby";#N/A,#N/A,FALSE,"AG";#N/A,#N/A,FALSE,"2001mixeduse"}</definedName>
    <definedName name="wrn.schedules." localSheetId="33" hidden="1">{#N/A,#N/A,FALSE,"Res - Unadj";#N/A,#N/A,FALSE,"Small L&amp;P";#N/A,#N/A,FALSE,"Medium L&amp;P";#N/A,#N/A,FALSE,"E-19";#N/A,#N/A,FALSE,"E-20";#N/A,#N/A,FALSE,"A-RTP";#N/A,#N/A,FALSE,"Strtlts &amp; Standby";#N/A,#N/A,FALSE,"AG";#N/A,#N/A,FALSE,"2001mixeduse"}</definedName>
    <definedName name="wrn.schedules." localSheetId="16" hidden="1">{#N/A,#N/A,FALSE,"Res - Unadj";#N/A,#N/A,FALSE,"Small L&amp;P";#N/A,#N/A,FALSE,"Medium L&amp;P";#N/A,#N/A,FALSE,"E-19";#N/A,#N/A,FALSE,"E-20";#N/A,#N/A,FALSE,"A-RTP";#N/A,#N/A,FALSE,"Strtlts &amp; Standby";#N/A,#N/A,FALSE,"AG";#N/A,#N/A,FALSE,"2001mixeduse"}</definedName>
    <definedName name="wrn.schedules." localSheetId="18" hidden="1">{#N/A,#N/A,FALSE,"Res - Unadj";#N/A,#N/A,FALSE,"Small L&amp;P";#N/A,#N/A,FALSE,"Medium L&amp;P";#N/A,#N/A,FALSE,"E-19";#N/A,#N/A,FALSE,"E-20";#N/A,#N/A,FALSE,"A-RTP";#N/A,#N/A,FALSE,"Strtlts &amp; Standby";#N/A,#N/A,FALSE,"AG";#N/A,#N/A,FALSE,"2001mixeduse"}</definedName>
    <definedName name="wrn.schedules." localSheetId="19" hidden="1">{#N/A,#N/A,FALSE,"Res - Unadj";#N/A,#N/A,FALSE,"Small L&amp;P";#N/A,#N/A,FALSE,"Medium L&amp;P";#N/A,#N/A,FALSE,"E-19";#N/A,#N/A,FALSE,"E-20";#N/A,#N/A,FALSE,"A-RTP";#N/A,#N/A,FALSE,"Strtlts &amp; Standby";#N/A,#N/A,FALSE,"AG";#N/A,#N/A,FALSE,"2001mixeduse"}</definedName>
    <definedName name="wrn.schedules." localSheetId="22" hidden="1">{#N/A,#N/A,FALSE,"Res - Unadj";#N/A,#N/A,FALSE,"Small L&amp;P";#N/A,#N/A,FALSE,"Medium L&amp;P";#N/A,#N/A,FALSE,"E-19";#N/A,#N/A,FALSE,"E-20";#N/A,#N/A,FALSE,"A-RTP";#N/A,#N/A,FALSE,"Strtlts &amp; Standby";#N/A,#N/A,FALSE,"AG";#N/A,#N/A,FALSE,"2001mixeduse"}</definedName>
    <definedName name="wrn.schedules." localSheetId="42" hidden="1">{#N/A,#N/A,FALSE,"Res - Unadj";#N/A,#N/A,FALSE,"Small L&amp;P";#N/A,#N/A,FALSE,"Medium L&amp;P";#N/A,#N/A,FALSE,"E-19";#N/A,#N/A,FALSE,"E-20";#N/A,#N/A,FALSE,"A-RTP";#N/A,#N/A,FALSE,"Strtlts &amp; Standby";#N/A,#N/A,FALSE,"AG";#N/A,#N/A,FALSE,"2001mixeduse"}</definedName>
    <definedName name="wrn.schedules." localSheetId="23" hidden="1">{#N/A,#N/A,FALSE,"Res - Unadj";#N/A,#N/A,FALSE,"Small L&amp;P";#N/A,#N/A,FALSE,"Medium L&amp;P";#N/A,#N/A,FALSE,"E-19";#N/A,#N/A,FALSE,"E-20";#N/A,#N/A,FALSE,"A-RTP";#N/A,#N/A,FALSE,"Strtlts &amp; Standby";#N/A,#N/A,FALSE,"AG";#N/A,#N/A,FALSE,"2001mixeduse"}</definedName>
    <definedName name="wrn.schedules." localSheetId="45" hidden="1">{#N/A,#N/A,FALSE,"Res - Unadj";#N/A,#N/A,FALSE,"Small L&amp;P";#N/A,#N/A,FALSE,"Medium L&amp;P";#N/A,#N/A,FALSE,"E-19";#N/A,#N/A,FALSE,"E-20";#N/A,#N/A,FALSE,"A-RTP";#N/A,#N/A,FALSE,"Strtlts &amp; Standby";#N/A,#N/A,FALSE,"AG";#N/A,#N/A,FALSE,"2001mixeduse"}</definedName>
    <definedName name="wrn.schedules." localSheetId="28" hidden="1">{#N/A,#N/A,FALSE,"Res - Unadj";#N/A,#N/A,FALSE,"Small L&amp;P";#N/A,#N/A,FALSE,"Medium L&amp;P";#N/A,#N/A,FALSE,"E-19";#N/A,#N/A,FALSE,"E-20";#N/A,#N/A,FALSE,"A-RTP";#N/A,#N/A,FALSE,"Strtlts &amp; Standby";#N/A,#N/A,FALSE,"AG";#N/A,#N/A,FALSE,"2001mixeduse"}</definedName>
    <definedName name="wrn.schedules." hidden="1">{#N/A,#N/A,FALSE,"Res - Unadj";#N/A,#N/A,FALSE,"Small L&amp;P";#N/A,#N/A,FALSE,"Medium L&amp;P";#N/A,#N/A,FALSE,"E-19";#N/A,#N/A,FALSE,"E-20";#N/A,#N/A,FALSE,"A-RTP";#N/A,#N/A,FALSE,"Strtlts &amp; Standby";#N/A,#N/A,FALSE,"AG";#N/A,#N/A,FALSE,"2001mixeduse"}</definedName>
    <definedName name="wrn.sum1." localSheetId="4" hidden="1">{"Summary","1",FALSE,"Summary"}</definedName>
    <definedName name="wrn.sum1." localSheetId="10" hidden="1">{"Summary","1",FALSE,"Summary"}</definedName>
    <definedName name="wrn.sum1." localSheetId="33" hidden="1">{"Summary","1",FALSE,"Summary"}</definedName>
    <definedName name="wrn.sum1." localSheetId="16" hidden="1">{"Summary","1",FALSE,"Summary"}</definedName>
    <definedName name="wrn.sum1." localSheetId="18" hidden="1">{"Summary","1",FALSE,"Summary"}</definedName>
    <definedName name="wrn.sum1." localSheetId="19" hidden="1">{"Summary","1",FALSE,"Summary"}</definedName>
    <definedName name="wrn.sum1." localSheetId="22" hidden="1">{"Summary","1",FALSE,"Summary"}</definedName>
    <definedName name="wrn.sum1." localSheetId="42" hidden="1">{"Summary","1",FALSE,"Summary"}</definedName>
    <definedName name="wrn.sum1." localSheetId="23" hidden="1">{"Summary","1",FALSE,"Summary"}</definedName>
    <definedName name="wrn.sum1." localSheetId="45" hidden="1">{"Summary","1",FALSE,"Summary"}</definedName>
    <definedName name="wrn.sum1." localSheetId="28" hidden="1">{"Summary","1",FALSE,"Summary"}</definedName>
    <definedName name="wrn.sum1." hidden="1">{"Summary","1",FALSE,"Summary"}</definedName>
    <definedName name="wrn.Waterfall." localSheetId="4" hidden="1">{"Basedata_Print",#N/A,TRUE,"Basedata";#N/A,#N/A,TRUE,"Case A";#N/A,#N/A,TRUE,"Case B";#N/A,#N/A,TRUE,"Case A1";#N/A,#N/A,TRUE,"Net Margin";#N/A,#N/A,TRUE,"Description of Cases"}</definedName>
    <definedName name="wrn.Waterfall." localSheetId="10" hidden="1">{"Basedata_Print",#N/A,TRUE,"Basedata";#N/A,#N/A,TRUE,"Case A";#N/A,#N/A,TRUE,"Case B";#N/A,#N/A,TRUE,"Case A1";#N/A,#N/A,TRUE,"Net Margin";#N/A,#N/A,TRUE,"Description of Cases"}</definedName>
    <definedName name="wrn.Waterfall." localSheetId="33" hidden="1">{"Basedata_Print",#N/A,TRUE,"Basedata";#N/A,#N/A,TRUE,"Case A";#N/A,#N/A,TRUE,"Case B";#N/A,#N/A,TRUE,"Case A1";#N/A,#N/A,TRUE,"Net Margin";#N/A,#N/A,TRUE,"Description of Cases"}</definedName>
    <definedName name="wrn.Waterfall." localSheetId="16" hidden="1">{"Basedata_Print",#N/A,TRUE,"Basedata";#N/A,#N/A,TRUE,"Case A";#N/A,#N/A,TRUE,"Case B";#N/A,#N/A,TRUE,"Case A1";#N/A,#N/A,TRUE,"Net Margin";#N/A,#N/A,TRUE,"Description of Cases"}</definedName>
    <definedName name="wrn.Waterfall." localSheetId="18" hidden="1">{"Basedata_Print",#N/A,TRUE,"Basedata";#N/A,#N/A,TRUE,"Case A";#N/A,#N/A,TRUE,"Case B";#N/A,#N/A,TRUE,"Case A1";#N/A,#N/A,TRUE,"Net Margin";#N/A,#N/A,TRUE,"Description of Cases"}</definedName>
    <definedName name="wrn.Waterfall." localSheetId="19" hidden="1">{"Basedata_Print",#N/A,TRUE,"Basedata";#N/A,#N/A,TRUE,"Case A";#N/A,#N/A,TRUE,"Case B";#N/A,#N/A,TRUE,"Case A1";#N/A,#N/A,TRUE,"Net Margin";#N/A,#N/A,TRUE,"Description of Cases"}</definedName>
    <definedName name="wrn.Waterfall." localSheetId="22" hidden="1">{"Basedata_Print",#N/A,TRUE,"Basedata";#N/A,#N/A,TRUE,"Case A";#N/A,#N/A,TRUE,"Case B";#N/A,#N/A,TRUE,"Case A1";#N/A,#N/A,TRUE,"Net Margin";#N/A,#N/A,TRUE,"Description of Cases"}</definedName>
    <definedName name="wrn.Waterfall." localSheetId="42" hidden="1">{"Basedata_Print",#N/A,TRUE,"Basedata";#N/A,#N/A,TRUE,"Case A";#N/A,#N/A,TRUE,"Case B";#N/A,#N/A,TRUE,"Case A1";#N/A,#N/A,TRUE,"Net Margin";#N/A,#N/A,TRUE,"Description of Cases"}</definedName>
    <definedName name="wrn.Waterfall." localSheetId="23" hidden="1">{"Basedata_Print",#N/A,TRUE,"Basedata";#N/A,#N/A,TRUE,"Case A";#N/A,#N/A,TRUE,"Case B";#N/A,#N/A,TRUE,"Case A1";#N/A,#N/A,TRUE,"Net Margin";#N/A,#N/A,TRUE,"Description of Cases"}</definedName>
    <definedName name="wrn.Waterfall." localSheetId="45" hidden="1">{"Basedata_Print",#N/A,TRUE,"Basedata";#N/A,#N/A,TRUE,"Case A";#N/A,#N/A,TRUE,"Case B";#N/A,#N/A,TRUE,"Case A1";#N/A,#N/A,TRUE,"Net Margin";#N/A,#N/A,TRUE,"Description of Cases"}</definedName>
    <definedName name="wrn.Waterfall." localSheetId="28" hidden="1">{"Basedata_Print",#N/A,TRUE,"Basedata";#N/A,#N/A,TRUE,"Case A";#N/A,#N/A,TRUE,"Case B";#N/A,#N/A,TRUE,"Case A1";#N/A,#N/A,TRUE,"Net Margin";#N/A,#N/A,TRUE,"Description of Cases"}</definedName>
    <definedName name="wrn.Waterfall." hidden="1">{"Basedata_Print",#N/A,TRUE,"Basedata";#N/A,#N/A,TRUE,"Case A";#N/A,#N/A,TRUE,"Case B";#N/A,#N/A,TRUE,"Case A1";#N/A,#N/A,TRUE,"Net Margin";#N/A,#N/A,TRUE,"Description of Cases"}</definedName>
    <definedName name="wrn.workpapers." localSheetId="4" hidden="1">{#N/A,#N/A,FALSE,"Inputs And Assumptions";#N/A,#N/A,FALSE,"Revenue Allocation";#N/A,#N/A,FALSE,"RSP Surch Allocations";#N/A,#N/A,FALSE,"Generation Calculations";#N/A,#N/A,FALSE,"Test Year 2001 Sales and Revs."}</definedName>
    <definedName name="wrn.workpapers." localSheetId="10" hidden="1">{#N/A,#N/A,FALSE,"Inputs And Assumptions";#N/A,#N/A,FALSE,"Revenue Allocation";#N/A,#N/A,FALSE,"RSP Surch Allocations";#N/A,#N/A,FALSE,"Generation Calculations";#N/A,#N/A,FALSE,"Test Year 2001 Sales and Revs."}</definedName>
    <definedName name="wrn.workpapers." localSheetId="33" hidden="1">{#N/A,#N/A,FALSE,"Inputs And Assumptions";#N/A,#N/A,FALSE,"Revenue Allocation";#N/A,#N/A,FALSE,"RSP Surch Allocations";#N/A,#N/A,FALSE,"Generation Calculations";#N/A,#N/A,FALSE,"Test Year 2001 Sales and Revs."}</definedName>
    <definedName name="wrn.workpapers." localSheetId="16" hidden="1">{#N/A,#N/A,FALSE,"Inputs And Assumptions";#N/A,#N/A,FALSE,"Revenue Allocation";#N/A,#N/A,FALSE,"RSP Surch Allocations";#N/A,#N/A,FALSE,"Generation Calculations";#N/A,#N/A,FALSE,"Test Year 2001 Sales and Revs."}</definedName>
    <definedName name="wrn.workpapers." localSheetId="18" hidden="1">{#N/A,#N/A,FALSE,"Inputs And Assumptions";#N/A,#N/A,FALSE,"Revenue Allocation";#N/A,#N/A,FALSE,"RSP Surch Allocations";#N/A,#N/A,FALSE,"Generation Calculations";#N/A,#N/A,FALSE,"Test Year 2001 Sales and Revs."}</definedName>
    <definedName name="wrn.workpapers." localSheetId="19" hidden="1">{#N/A,#N/A,FALSE,"Inputs And Assumptions";#N/A,#N/A,FALSE,"Revenue Allocation";#N/A,#N/A,FALSE,"RSP Surch Allocations";#N/A,#N/A,FALSE,"Generation Calculations";#N/A,#N/A,FALSE,"Test Year 2001 Sales and Revs."}</definedName>
    <definedName name="wrn.workpapers." localSheetId="22" hidden="1">{#N/A,#N/A,FALSE,"Inputs And Assumptions";#N/A,#N/A,FALSE,"Revenue Allocation";#N/A,#N/A,FALSE,"RSP Surch Allocations";#N/A,#N/A,FALSE,"Generation Calculations";#N/A,#N/A,FALSE,"Test Year 2001 Sales and Revs."}</definedName>
    <definedName name="wrn.workpapers." localSheetId="42" hidden="1">{#N/A,#N/A,FALSE,"Inputs And Assumptions";#N/A,#N/A,FALSE,"Revenue Allocation";#N/A,#N/A,FALSE,"RSP Surch Allocations";#N/A,#N/A,FALSE,"Generation Calculations";#N/A,#N/A,FALSE,"Test Year 2001 Sales and Revs."}</definedName>
    <definedName name="wrn.workpapers." localSheetId="23" hidden="1">{#N/A,#N/A,FALSE,"Inputs And Assumptions";#N/A,#N/A,FALSE,"Revenue Allocation";#N/A,#N/A,FALSE,"RSP Surch Allocations";#N/A,#N/A,FALSE,"Generation Calculations";#N/A,#N/A,FALSE,"Test Year 2001 Sales and Revs."}</definedName>
    <definedName name="wrn.workpapers." localSheetId="45" hidden="1">{#N/A,#N/A,FALSE,"Inputs And Assumptions";#N/A,#N/A,FALSE,"Revenue Allocation";#N/A,#N/A,FALSE,"RSP Surch Allocations";#N/A,#N/A,FALSE,"Generation Calculations";#N/A,#N/A,FALSE,"Test Year 2001 Sales and Revs."}</definedName>
    <definedName name="wrn.workpapers." localSheetId="28" hidden="1">{#N/A,#N/A,FALSE,"Inputs And Assumptions";#N/A,#N/A,FALSE,"Revenue Allocation";#N/A,#N/A,FALSE,"RSP Surch Allocations";#N/A,#N/A,FALSE,"Generation Calculations";#N/A,#N/A,FALSE,"Test Year 2001 Sales and Revs."}</definedName>
    <definedName name="wrn.workpapers." hidden="1">{#N/A,#N/A,FALSE,"Inputs And Assumptions";#N/A,#N/A,FALSE,"Revenue Allocation";#N/A,#N/A,FALSE,"RSP Surch Allocations";#N/A,#N/A,FALSE,"Generation Calculations";#N/A,#N/A,FALSE,"Test Year 2001 Sales and Revs."}</definedName>
    <definedName name="wrn2.waterfall" localSheetId="4" hidden="1">{"Basedata_Print",#N/A,TRUE,"Basedata";#N/A,#N/A,TRUE,"Case A";#N/A,#N/A,TRUE,"Case B";#N/A,#N/A,TRUE,"Case A1";#N/A,#N/A,TRUE,"Net Margin";#N/A,#N/A,TRUE,"Description of Cases"}</definedName>
    <definedName name="wrn2.waterfall" localSheetId="10" hidden="1">{"Basedata_Print",#N/A,TRUE,"Basedata";#N/A,#N/A,TRUE,"Case A";#N/A,#N/A,TRUE,"Case B";#N/A,#N/A,TRUE,"Case A1";#N/A,#N/A,TRUE,"Net Margin";#N/A,#N/A,TRUE,"Description of Cases"}</definedName>
    <definedName name="wrn2.waterfall" localSheetId="33" hidden="1">{"Basedata_Print",#N/A,TRUE,"Basedata";#N/A,#N/A,TRUE,"Case A";#N/A,#N/A,TRUE,"Case B";#N/A,#N/A,TRUE,"Case A1";#N/A,#N/A,TRUE,"Net Margin";#N/A,#N/A,TRUE,"Description of Cases"}</definedName>
    <definedName name="wrn2.waterfall" localSheetId="16" hidden="1">{"Basedata_Print",#N/A,TRUE,"Basedata";#N/A,#N/A,TRUE,"Case A";#N/A,#N/A,TRUE,"Case B";#N/A,#N/A,TRUE,"Case A1";#N/A,#N/A,TRUE,"Net Margin";#N/A,#N/A,TRUE,"Description of Cases"}</definedName>
    <definedName name="wrn2.waterfall" localSheetId="18" hidden="1">{"Basedata_Print",#N/A,TRUE,"Basedata";#N/A,#N/A,TRUE,"Case A";#N/A,#N/A,TRUE,"Case B";#N/A,#N/A,TRUE,"Case A1";#N/A,#N/A,TRUE,"Net Margin";#N/A,#N/A,TRUE,"Description of Cases"}</definedName>
    <definedName name="wrn2.waterfall" localSheetId="19" hidden="1">{"Basedata_Print",#N/A,TRUE,"Basedata";#N/A,#N/A,TRUE,"Case A";#N/A,#N/A,TRUE,"Case B";#N/A,#N/A,TRUE,"Case A1";#N/A,#N/A,TRUE,"Net Margin";#N/A,#N/A,TRUE,"Description of Cases"}</definedName>
    <definedName name="wrn2.waterfall" localSheetId="22" hidden="1">{"Basedata_Print",#N/A,TRUE,"Basedata";#N/A,#N/A,TRUE,"Case A";#N/A,#N/A,TRUE,"Case B";#N/A,#N/A,TRUE,"Case A1";#N/A,#N/A,TRUE,"Net Margin";#N/A,#N/A,TRUE,"Description of Cases"}</definedName>
    <definedName name="wrn2.waterfall" localSheetId="42" hidden="1">{"Basedata_Print",#N/A,TRUE,"Basedata";#N/A,#N/A,TRUE,"Case A";#N/A,#N/A,TRUE,"Case B";#N/A,#N/A,TRUE,"Case A1";#N/A,#N/A,TRUE,"Net Margin";#N/A,#N/A,TRUE,"Description of Cases"}</definedName>
    <definedName name="wrn2.waterfall" localSheetId="23" hidden="1">{"Basedata_Print",#N/A,TRUE,"Basedata";#N/A,#N/A,TRUE,"Case A";#N/A,#N/A,TRUE,"Case B";#N/A,#N/A,TRUE,"Case A1";#N/A,#N/A,TRUE,"Net Margin";#N/A,#N/A,TRUE,"Description of Cases"}</definedName>
    <definedName name="wrn2.waterfall" localSheetId="45" hidden="1">{"Basedata_Print",#N/A,TRUE,"Basedata";#N/A,#N/A,TRUE,"Case A";#N/A,#N/A,TRUE,"Case B";#N/A,#N/A,TRUE,"Case A1";#N/A,#N/A,TRUE,"Net Margin";#N/A,#N/A,TRUE,"Description of Cases"}</definedName>
    <definedName name="wrn2.waterfall" localSheetId="28" hidden="1">{"Basedata_Print",#N/A,TRUE,"Basedata";#N/A,#N/A,TRUE,"Case A";#N/A,#N/A,TRUE,"Case B";#N/A,#N/A,TRUE,"Case A1";#N/A,#N/A,TRUE,"Net Margin";#N/A,#N/A,TRUE,"Description of Cases"}</definedName>
    <definedName name="wrn2.waterfall" hidden="1">{"Basedata_Print",#N/A,TRUE,"Basedata";#N/A,#N/A,TRUE,"Case A";#N/A,#N/A,TRUE,"Case B";#N/A,#N/A,TRUE,"Case A1";#N/A,#N/A,TRUE,"Net Margin";#N/A,#N/A,TRUE,"Description of Cases"}</definedName>
    <definedName name="xx" localSheetId="4">#REF!</definedName>
    <definedName name="xx" localSheetId="10">#REF!</definedName>
    <definedName name="xx" localSheetId="2">#REF!</definedName>
    <definedName name="xx" localSheetId="33">#REF!</definedName>
    <definedName name="xx" localSheetId="16">#REF!</definedName>
    <definedName name="xx" localSheetId="18">#REF!</definedName>
    <definedName name="xx" localSheetId="19">#REF!</definedName>
    <definedName name="xx" localSheetId="22">#REF!</definedName>
    <definedName name="xx" localSheetId="42">#REF!</definedName>
    <definedName name="xx" localSheetId="23">#REF!</definedName>
    <definedName name="xx" localSheetId="45">#REF!</definedName>
    <definedName name="xx" localSheetId="1">#REF!</definedName>
    <definedName name="xx" localSheetId="28">#REF!</definedName>
    <definedName name="xx">#REF!</definedName>
  </definedNames>
  <calcPr calcId="152511"/>
</workbook>
</file>

<file path=xl/calcChain.xml><?xml version="1.0" encoding="utf-8"?>
<calcChain xmlns="http://schemas.openxmlformats.org/spreadsheetml/2006/main">
  <c r="C7" i="4" l="1"/>
  <c r="D7" i="4" s="1"/>
  <c r="E7" i="4" s="1"/>
  <c r="F7" i="4" s="1"/>
  <c r="G7" i="4" s="1"/>
  <c r="H7" i="4" s="1"/>
  <c r="I7" i="4" s="1"/>
  <c r="J7" i="4" s="1"/>
  <c r="K7" i="4" s="1"/>
  <c r="G3" i="79"/>
  <c r="H3" i="79" s="1"/>
  <c r="I3" i="79" s="1"/>
  <c r="J3" i="79" s="1"/>
  <c r="K3" i="79" s="1"/>
  <c r="G4" i="90" l="1"/>
  <c r="F4" i="90"/>
  <c r="E4" i="90"/>
  <c r="D4" i="90"/>
  <c r="C4" i="90"/>
  <c r="B4" i="90"/>
  <c r="G4" i="89"/>
  <c r="F4" i="89"/>
  <c r="E4" i="89"/>
  <c r="D4" i="89"/>
  <c r="C4" i="89"/>
  <c r="B4" i="89"/>
  <c r="G4" i="88"/>
  <c r="F4" i="88"/>
  <c r="E4" i="88"/>
  <c r="D4" i="88"/>
  <c r="C4" i="88"/>
  <c r="B4" i="88"/>
  <c r="G4" i="87"/>
  <c r="F4" i="87"/>
  <c r="E4" i="87"/>
  <c r="D4" i="87"/>
  <c r="C4" i="87"/>
  <c r="B4" i="87"/>
  <c r="G4" i="86"/>
  <c r="F4" i="86"/>
  <c r="E4" i="86"/>
  <c r="D4" i="86"/>
  <c r="C4" i="86"/>
  <c r="B4" i="86"/>
  <c r="G4" i="84"/>
  <c r="F4" i="84"/>
  <c r="E4" i="84"/>
  <c r="D4" i="84"/>
  <c r="C4" i="84"/>
  <c r="B4" i="84"/>
  <c r="G4" i="83"/>
  <c r="F4" i="83"/>
  <c r="E4" i="83"/>
  <c r="D4" i="83"/>
  <c r="C4" i="83"/>
  <c r="B4" i="83"/>
  <c r="G4" i="82"/>
  <c r="F4" i="82"/>
  <c r="E4" i="82"/>
  <c r="D4" i="82"/>
  <c r="C4" i="82"/>
  <c r="B4" i="82"/>
  <c r="G4" i="81"/>
  <c r="F4" i="81"/>
  <c r="E4" i="81"/>
  <c r="D4" i="81"/>
  <c r="C4" i="81"/>
  <c r="B4" i="81"/>
  <c r="G4" i="80"/>
  <c r="F4" i="80"/>
  <c r="E4" i="80"/>
  <c r="D4" i="80"/>
  <c r="C4" i="80"/>
  <c r="B4" i="80"/>
  <c r="K15" i="90"/>
  <c r="J15" i="90"/>
  <c r="I15" i="90"/>
  <c r="H15" i="90"/>
  <c r="G15" i="90"/>
  <c r="F15" i="90"/>
  <c r="E15" i="90"/>
  <c r="D15" i="90"/>
  <c r="C15" i="90"/>
  <c r="B15" i="90"/>
  <c r="N5" i="90"/>
  <c r="N4" i="90"/>
  <c r="K15" i="89"/>
  <c r="J15" i="89"/>
  <c r="I15" i="89"/>
  <c r="H15" i="89"/>
  <c r="G15" i="89"/>
  <c r="F15" i="89"/>
  <c r="E15" i="89"/>
  <c r="D15" i="89"/>
  <c r="C15" i="89"/>
  <c r="B15" i="89"/>
  <c r="N5" i="89"/>
  <c r="N4" i="89"/>
  <c r="K15" i="88"/>
  <c r="J15" i="88"/>
  <c r="I15" i="88"/>
  <c r="H15" i="88"/>
  <c r="G15" i="88"/>
  <c r="F15" i="88"/>
  <c r="E15" i="88"/>
  <c r="D15" i="88"/>
  <c r="C15" i="88"/>
  <c r="B15" i="88"/>
  <c r="N5" i="88"/>
  <c r="N4" i="88"/>
  <c r="K15" i="87"/>
  <c r="J15" i="87"/>
  <c r="I15" i="87"/>
  <c r="H15" i="87"/>
  <c r="G15" i="87"/>
  <c r="F15" i="87"/>
  <c r="E15" i="87"/>
  <c r="D15" i="87"/>
  <c r="C15" i="87"/>
  <c r="B15" i="87"/>
  <c r="N5" i="87"/>
  <c r="N4" i="87"/>
  <c r="K15" i="86"/>
  <c r="J15" i="86"/>
  <c r="I15" i="86"/>
  <c r="H15" i="86"/>
  <c r="G15" i="86"/>
  <c r="F15" i="86"/>
  <c r="E15" i="86"/>
  <c r="D15" i="86"/>
  <c r="C15" i="86"/>
  <c r="B15" i="86"/>
  <c r="N5" i="86"/>
  <c r="N4" i="86"/>
  <c r="K15" i="84"/>
  <c r="J15" i="84"/>
  <c r="I15" i="84"/>
  <c r="H15" i="84"/>
  <c r="G15" i="84"/>
  <c r="F15" i="84"/>
  <c r="E15" i="84"/>
  <c r="D15" i="84"/>
  <c r="C15" i="84"/>
  <c r="B15" i="84"/>
  <c r="N5" i="84"/>
  <c r="N4" i="84"/>
  <c r="K15" i="83"/>
  <c r="J15" i="83"/>
  <c r="I15" i="83"/>
  <c r="H15" i="83"/>
  <c r="G15" i="83"/>
  <c r="F15" i="83"/>
  <c r="E15" i="83"/>
  <c r="D15" i="83"/>
  <c r="C15" i="83"/>
  <c r="B15" i="83"/>
  <c r="N5" i="83"/>
  <c r="N4" i="83"/>
  <c r="K15" i="82"/>
  <c r="J15" i="82"/>
  <c r="I15" i="82"/>
  <c r="H15" i="82"/>
  <c r="G15" i="82"/>
  <c r="F15" i="82"/>
  <c r="E15" i="82"/>
  <c r="D15" i="82"/>
  <c r="C15" i="82"/>
  <c r="B15" i="82"/>
  <c r="N5" i="82"/>
  <c r="N4" i="82"/>
  <c r="K15" i="81"/>
  <c r="J15" i="81"/>
  <c r="I15" i="81"/>
  <c r="H15" i="81"/>
  <c r="G15" i="81"/>
  <c r="F15" i="81"/>
  <c r="E15" i="81"/>
  <c r="D15" i="81"/>
  <c r="C15" i="81"/>
  <c r="B15" i="81"/>
  <c r="N5" i="81"/>
  <c r="N4" i="81"/>
  <c r="N4" i="80"/>
  <c r="N5" i="80"/>
  <c r="B15" i="80"/>
  <c r="C15" i="80"/>
  <c r="D15" i="80"/>
  <c r="E15" i="80"/>
  <c r="F15" i="80"/>
  <c r="G15" i="80"/>
  <c r="H15" i="80"/>
  <c r="I15" i="80"/>
  <c r="J15" i="80"/>
  <c r="K15" i="80"/>
  <c r="H4" i="84" l="1"/>
  <c r="I4" i="84" s="1"/>
  <c r="J4" i="84" s="1"/>
  <c r="K4" i="84" s="1"/>
  <c r="H4" i="81"/>
  <c r="I4" i="81" s="1"/>
  <c r="J4" i="81" s="1"/>
  <c r="K4" i="81" s="1"/>
  <c r="H4" i="83"/>
  <c r="I4" i="83" s="1"/>
  <c r="J4" i="83" s="1"/>
  <c r="K4" i="83" s="1"/>
  <c r="H4" i="86"/>
  <c r="I4" i="86" s="1"/>
  <c r="J4" i="86" s="1"/>
  <c r="K4" i="86" s="1"/>
  <c r="H4" i="88"/>
  <c r="I4" i="88" s="1"/>
  <c r="J4" i="88" s="1"/>
  <c r="K4" i="88" s="1"/>
  <c r="H4" i="89"/>
  <c r="I4" i="89" s="1"/>
  <c r="J4" i="89" s="1"/>
  <c r="K4" i="89" s="1"/>
  <c r="H4" i="90"/>
  <c r="I4" i="90" s="1"/>
  <c r="J4" i="90" s="1"/>
  <c r="K4" i="90" s="1"/>
  <c r="D5" i="80"/>
  <c r="D10" i="80" s="1"/>
  <c r="D11" i="80" s="1"/>
  <c r="D12" i="80" s="1"/>
  <c r="H4" i="80"/>
  <c r="I4" i="80" s="1"/>
  <c r="J4" i="80" s="1"/>
  <c r="K4" i="80" s="1"/>
  <c r="B5" i="83"/>
  <c r="B10" i="83" s="1"/>
  <c r="B11" i="83" s="1"/>
  <c r="B12" i="83" s="1"/>
  <c r="F5" i="83"/>
  <c r="F10" i="83" s="1"/>
  <c r="F11" i="83" s="1"/>
  <c r="F12" i="83" s="1"/>
  <c r="D5" i="87"/>
  <c r="D10" i="87" s="1"/>
  <c r="D11" i="87" s="1"/>
  <c r="D12" i="87" s="1"/>
  <c r="E5" i="82"/>
  <c r="E10" i="82" s="1"/>
  <c r="E11" i="82" s="1"/>
  <c r="E12" i="82" s="1"/>
  <c r="E5" i="86"/>
  <c r="E10" i="86" s="1"/>
  <c r="E11" i="86" s="1"/>
  <c r="E12" i="86" s="1"/>
  <c r="H4" i="82"/>
  <c r="I4" i="82" s="1"/>
  <c r="J4" i="82" s="1"/>
  <c r="K4" i="82" s="1"/>
  <c r="H4" i="87"/>
  <c r="I4" i="87" s="1"/>
  <c r="J4" i="87" s="1"/>
  <c r="K4" i="87" s="1"/>
  <c r="H8" i="83"/>
  <c r="I8" i="83" s="1"/>
  <c r="J8" i="83" s="1"/>
  <c r="K8" i="83" s="1"/>
  <c r="H8" i="90"/>
  <c r="I8" i="90" s="1"/>
  <c r="J8" i="90" s="1"/>
  <c r="K8" i="90" s="1"/>
  <c r="H8" i="89"/>
  <c r="I8" i="89" s="1"/>
  <c r="J8" i="89" s="1"/>
  <c r="K8" i="89" s="1"/>
  <c r="H8" i="88"/>
  <c r="I8" i="88" s="1"/>
  <c r="J8" i="88" s="1"/>
  <c r="K8" i="88" s="1"/>
  <c r="H8" i="86"/>
  <c r="I8" i="86" s="1"/>
  <c r="J8" i="86" s="1"/>
  <c r="K8" i="86" s="1"/>
  <c r="H8" i="82"/>
  <c r="I8" i="82" s="1"/>
  <c r="J8" i="82" s="1"/>
  <c r="K8" i="82" s="1"/>
  <c r="H8" i="81"/>
  <c r="I8" i="81" s="1"/>
  <c r="J8" i="81" s="1"/>
  <c r="K8" i="81" s="1"/>
  <c r="F5" i="88"/>
  <c r="F10" i="88" s="1"/>
  <c r="F11" i="88" s="1"/>
  <c r="F12" i="88" s="1"/>
  <c r="H8" i="87"/>
  <c r="I8" i="87" s="1"/>
  <c r="J8" i="87" s="1"/>
  <c r="K8" i="87" s="1"/>
  <c r="H8" i="84"/>
  <c r="I8" i="84" s="1"/>
  <c r="J8" i="84" s="1"/>
  <c r="K8" i="84" s="1"/>
  <c r="H8" i="80"/>
  <c r="I8" i="80" s="1"/>
  <c r="J8" i="80" s="1"/>
  <c r="K8" i="80" s="1"/>
  <c r="F5" i="80"/>
  <c r="F10" i="80" s="1"/>
  <c r="F11" i="80" s="1"/>
  <c r="F12" i="80" s="1"/>
  <c r="H3" i="82" l="1"/>
  <c r="H5" i="82" s="1"/>
  <c r="H10" i="82" s="1"/>
  <c r="H11" i="82" s="1"/>
  <c r="H12" i="82" s="1"/>
  <c r="H3" i="90"/>
  <c r="H5" i="90" s="1"/>
  <c r="H10" i="90" s="1"/>
  <c r="H11" i="90" s="1"/>
  <c r="H12" i="90" s="1"/>
  <c r="H3" i="86"/>
  <c r="I3" i="86" s="1"/>
  <c r="G5" i="90"/>
  <c r="G10" i="90" s="1"/>
  <c r="G11" i="90" s="1"/>
  <c r="G12" i="90" s="1"/>
  <c r="C5" i="90"/>
  <c r="C10" i="90" s="1"/>
  <c r="C11" i="90" s="1"/>
  <c r="C12" i="90" s="1"/>
  <c r="F5" i="90"/>
  <c r="F10" i="90" s="1"/>
  <c r="F11" i="90" s="1"/>
  <c r="F12" i="90" s="1"/>
  <c r="B5" i="90"/>
  <c r="B10" i="90" s="1"/>
  <c r="B11" i="90" s="1"/>
  <c r="B12" i="90" s="1"/>
  <c r="E5" i="90"/>
  <c r="E10" i="90" s="1"/>
  <c r="E11" i="90" s="1"/>
  <c r="E12" i="90" s="1"/>
  <c r="D5" i="90"/>
  <c r="D10" i="90" s="1"/>
  <c r="D11" i="90" s="1"/>
  <c r="D12" i="90" s="1"/>
  <c r="G5" i="89"/>
  <c r="G10" i="89" s="1"/>
  <c r="G11" i="89" s="1"/>
  <c r="G12" i="89" s="1"/>
  <c r="C5" i="89"/>
  <c r="C10" i="89" s="1"/>
  <c r="C11" i="89" s="1"/>
  <c r="C12" i="89" s="1"/>
  <c r="D5" i="89"/>
  <c r="D10" i="89" s="1"/>
  <c r="D11" i="89" s="1"/>
  <c r="D12" i="89" s="1"/>
  <c r="F5" i="89"/>
  <c r="F10" i="89" s="1"/>
  <c r="F11" i="89" s="1"/>
  <c r="F12" i="89" s="1"/>
  <c r="B5" i="89"/>
  <c r="B10" i="89" s="1"/>
  <c r="B11" i="89" s="1"/>
  <c r="B12" i="89" s="1"/>
  <c r="E5" i="89"/>
  <c r="E10" i="89" s="1"/>
  <c r="E11" i="89" s="1"/>
  <c r="E12" i="89" s="1"/>
  <c r="H3" i="89"/>
  <c r="H5" i="89" s="1"/>
  <c r="H10" i="89" s="1"/>
  <c r="F16" i="88"/>
  <c r="F17" i="88" s="1"/>
  <c r="F18" i="88" s="1"/>
  <c r="B5" i="88"/>
  <c r="B10" i="88" s="1"/>
  <c r="B11" i="88" s="1"/>
  <c r="B12" i="88" s="1"/>
  <c r="D5" i="88"/>
  <c r="D10" i="88" s="1"/>
  <c r="D11" i="88" s="1"/>
  <c r="D12" i="88" s="1"/>
  <c r="G5" i="88"/>
  <c r="G10" i="88" s="1"/>
  <c r="G11" i="88" s="1"/>
  <c r="G12" i="88" s="1"/>
  <c r="H3" i="88"/>
  <c r="E5" i="88"/>
  <c r="E10" i="88" s="1"/>
  <c r="E11" i="88" s="1"/>
  <c r="E12" i="88" s="1"/>
  <c r="C5" i="88"/>
  <c r="C10" i="88" s="1"/>
  <c r="C11" i="88" s="1"/>
  <c r="C12" i="88" s="1"/>
  <c r="D16" i="87"/>
  <c r="D17" i="87" s="1"/>
  <c r="D18" i="87" s="1"/>
  <c r="F5" i="87"/>
  <c r="F10" i="87" s="1"/>
  <c r="F11" i="87" s="1"/>
  <c r="F12" i="87" s="1"/>
  <c r="H3" i="87"/>
  <c r="E5" i="87"/>
  <c r="E10" i="87" s="1"/>
  <c r="E11" i="87" s="1"/>
  <c r="E12" i="87" s="1"/>
  <c r="G5" i="87"/>
  <c r="G10" i="87" s="1"/>
  <c r="G11" i="87" s="1"/>
  <c r="G12" i="87" s="1"/>
  <c r="C5" i="87"/>
  <c r="C10" i="87" s="1"/>
  <c r="C11" i="87" s="1"/>
  <c r="C12" i="87" s="1"/>
  <c r="B5" i="87"/>
  <c r="B10" i="87" s="1"/>
  <c r="B11" i="87" s="1"/>
  <c r="B12" i="87" s="1"/>
  <c r="E16" i="86"/>
  <c r="E17" i="86" s="1"/>
  <c r="E18" i="86" s="1"/>
  <c r="B5" i="86"/>
  <c r="B10" i="86" s="1"/>
  <c r="B11" i="86" s="1"/>
  <c r="B12" i="86" s="1"/>
  <c r="D5" i="86"/>
  <c r="D10" i="86" s="1"/>
  <c r="D11" i="86" s="1"/>
  <c r="D12" i="86" s="1"/>
  <c r="G5" i="86"/>
  <c r="G10" i="86" s="1"/>
  <c r="G11" i="86" s="1"/>
  <c r="G12" i="86" s="1"/>
  <c r="F5" i="86"/>
  <c r="F10" i="86" s="1"/>
  <c r="F11" i="86" s="1"/>
  <c r="F12" i="86" s="1"/>
  <c r="C5" i="86"/>
  <c r="C10" i="86" s="1"/>
  <c r="C11" i="86" s="1"/>
  <c r="C12" i="86" s="1"/>
  <c r="H3" i="84"/>
  <c r="H5" i="84" s="1"/>
  <c r="H10" i="84" s="1"/>
  <c r="G5" i="84"/>
  <c r="G10" i="84" s="1"/>
  <c r="G11" i="84" s="1"/>
  <c r="G12" i="84" s="1"/>
  <c r="C5" i="84"/>
  <c r="C10" i="84" s="1"/>
  <c r="C11" i="84" s="1"/>
  <c r="C12" i="84" s="1"/>
  <c r="E5" i="84"/>
  <c r="E10" i="84" s="1"/>
  <c r="E11" i="84" s="1"/>
  <c r="E12" i="84" s="1"/>
  <c r="F5" i="84"/>
  <c r="F10" i="84" s="1"/>
  <c r="F11" i="84" s="1"/>
  <c r="F12" i="84" s="1"/>
  <c r="B5" i="84"/>
  <c r="B10" i="84" s="1"/>
  <c r="B11" i="84" s="1"/>
  <c r="B12" i="84" s="1"/>
  <c r="D5" i="84"/>
  <c r="D10" i="84" s="1"/>
  <c r="D11" i="84" s="1"/>
  <c r="D12" i="84" s="1"/>
  <c r="F16" i="83"/>
  <c r="F17" i="83" s="1"/>
  <c r="F18" i="83" s="1"/>
  <c r="B16" i="83"/>
  <c r="B17" i="83" s="1"/>
  <c r="B18" i="83" s="1"/>
  <c r="G5" i="83"/>
  <c r="G10" i="83" s="1"/>
  <c r="G11" i="83" s="1"/>
  <c r="G12" i="83" s="1"/>
  <c r="H3" i="83"/>
  <c r="E5" i="83"/>
  <c r="E10" i="83" s="1"/>
  <c r="E11" i="83" s="1"/>
  <c r="E12" i="83" s="1"/>
  <c r="C5" i="83"/>
  <c r="C10" i="83" s="1"/>
  <c r="C11" i="83" s="1"/>
  <c r="C12" i="83" s="1"/>
  <c r="D5" i="83"/>
  <c r="D10" i="83" s="1"/>
  <c r="D11" i="83" s="1"/>
  <c r="D12" i="83" s="1"/>
  <c r="E16" i="82"/>
  <c r="E17" i="82" s="1"/>
  <c r="E18" i="82" s="1"/>
  <c r="C5" i="82"/>
  <c r="C10" i="82" s="1"/>
  <c r="C11" i="82" s="1"/>
  <c r="C12" i="82" s="1"/>
  <c r="B5" i="82"/>
  <c r="B10" i="82" s="1"/>
  <c r="B11" i="82" s="1"/>
  <c r="B12" i="82" s="1"/>
  <c r="G5" i="82"/>
  <c r="G10" i="82" s="1"/>
  <c r="G11" i="82" s="1"/>
  <c r="G12" i="82" s="1"/>
  <c r="D5" i="82"/>
  <c r="D10" i="82" s="1"/>
  <c r="D11" i="82" s="1"/>
  <c r="D12" i="82" s="1"/>
  <c r="F5" i="82"/>
  <c r="F10" i="82" s="1"/>
  <c r="F11" i="82" s="1"/>
  <c r="F12" i="82" s="1"/>
  <c r="F5" i="81"/>
  <c r="F10" i="81" s="1"/>
  <c r="F11" i="81" s="1"/>
  <c r="F12" i="81" s="1"/>
  <c r="G5" i="81"/>
  <c r="G10" i="81" s="1"/>
  <c r="G11" i="81" s="1"/>
  <c r="G12" i="81" s="1"/>
  <c r="B5" i="81"/>
  <c r="B10" i="81" s="1"/>
  <c r="B11" i="81" s="1"/>
  <c r="B12" i="81" s="1"/>
  <c r="C5" i="81"/>
  <c r="C10" i="81" s="1"/>
  <c r="C11" i="81" s="1"/>
  <c r="C12" i="81" s="1"/>
  <c r="H3" i="81"/>
  <c r="E5" i="81"/>
  <c r="E10" i="81" s="1"/>
  <c r="E11" i="81" s="1"/>
  <c r="E12" i="81" s="1"/>
  <c r="D5" i="81"/>
  <c r="D10" i="81" s="1"/>
  <c r="D11" i="81" s="1"/>
  <c r="D12" i="81" s="1"/>
  <c r="D16" i="80"/>
  <c r="D17" i="80" s="1"/>
  <c r="D18" i="80" s="1"/>
  <c r="F16" i="80"/>
  <c r="F17" i="80" s="1"/>
  <c r="F18" i="80" s="1"/>
  <c r="G5" i="80"/>
  <c r="G10" i="80" s="1"/>
  <c r="G11" i="80" s="1"/>
  <c r="G12" i="80" s="1"/>
  <c r="E5" i="80"/>
  <c r="E10" i="80" s="1"/>
  <c r="E11" i="80" s="1"/>
  <c r="E12" i="80" s="1"/>
  <c r="H3" i="80"/>
  <c r="B5" i="80"/>
  <c r="B10" i="80" s="1"/>
  <c r="B11" i="80" s="1"/>
  <c r="B12" i="80" s="1"/>
  <c r="C5" i="80"/>
  <c r="C10" i="80" s="1"/>
  <c r="C11" i="80" s="1"/>
  <c r="C12" i="80" s="1"/>
  <c r="I3" i="82" l="1"/>
  <c r="J3" i="82" s="1"/>
  <c r="H5" i="86"/>
  <c r="H10" i="86" s="1"/>
  <c r="H11" i="86" s="1"/>
  <c r="H12" i="86" s="1"/>
  <c r="H16" i="86" s="1"/>
  <c r="H17" i="86" s="1"/>
  <c r="H18" i="86" s="1"/>
  <c r="I3" i="90"/>
  <c r="J3" i="90" s="1"/>
  <c r="B16" i="90"/>
  <c r="B17" i="90" s="1"/>
  <c r="B18" i="90" s="1"/>
  <c r="C16" i="90"/>
  <c r="C17" i="90" s="1"/>
  <c r="C18" i="90" s="1"/>
  <c r="G16" i="90"/>
  <c r="G17" i="90" s="1"/>
  <c r="G18" i="90" s="1"/>
  <c r="E16" i="90"/>
  <c r="E17" i="90" s="1"/>
  <c r="E18" i="90" s="1"/>
  <c r="F16" i="90"/>
  <c r="F17" i="90" s="1"/>
  <c r="F18" i="90" s="1"/>
  <c r="D16" i="90"/>
  <c r="D17" i="90" s="1"/>
  <c r="D18" i="90" s="1"/>
  <c r="H16" i="90"/>
  <c r="H17" i="90" s="1"/>
  <c r="H18" i="90" s="1"/>
  <c r="D16" i="89"/>
  <c r="D17" i="89" s="1"/>
  <c r="D18" i="89" s="1"/>
  <c r="E16" i="89"/>
  <c r="E17" i="89" s="1"/>
  <c r="E18" i="89" s="1"/>
  <c r="C16" i="89"/>
  <c r="C17" i="89" s="1"/>
  <c r="C18" i="89" s="1"/>
  <c r="H11" i="89"/>
  <c r="H12" i="89" s="1"/>
  <c r="I3" i="89"/>
  <c r="F16" i="89"/>
  <c r="F17" i="89" s="1"/>
  <c r="F18" i="89" s="1"/>
  <c r="G16" i="89"/>
  <c r="G17" i="89" s="1"/>
  <c r="G18" i="89" s="1"/>
  <c r="B16" i="89"/>
  <c r="B17" i="89" s="1"/>
  <c r="B18" i="89" s="1"/>
  <c r="D16" i="88"/>
  <c r="D17" i="88" s="1"/>
  <c r="D18" i="88" s="1"/>
  <c r="G16" i="88"/>
  <c r="G17" i="88" s="1"/>
  <c r="G18" i="88" s="1"/>
  <c r="B16" i="88"/>
  <c r="B17" i="88" s="1"/>
  <c r="B18" i="88" s="1"/>
  <c r="C16" i="88"/>
  <c r="C17" i="88" s="1"/>
  <c r="C18" i="88" s="1"/>
  <c r="E16" i="88"/>
  <c r="E17" i="88" s="1"/>
  <c r="E18" i="88" s="1"/>
  <c r="H5" i="88"/>
  <c r="H10" i="88" s="1"/>
  <c r="H11" i="88" s="1"/>
  <c r="H12" i="88" s="1"/>
  <c r="I3" i="88"/>
  <c r="G16" i="87"/>
  <c r="G17" i="87" s="1"/>
  <c r="G18" i="87" s="1"/>
  <c r="F16" i="87"/>
  <c r="F17" i="87" s="1"/>
  <c r="F18" i="87" s="1"/>
  <c r="B16" i="87"/>
  <c r="B17" i="87" s="1"/>
  <c r="B18" i="87" s="1"/>
  <c r="C16" i="87"/>
  <c r="C17" i="87" s="1"/>
  <c r="C18" i="87" s="1"/>
  <c r="E16" i="87"/>
  <c r="E17" i="87" s="1"/>
  <c r="E18" i="87" s="1"/>
  <c r="H5" i="87"/>
  <c r="H10" i="87" s="1"/>
  <c r="H11" i="87" s="1"/>
  <c r="H12" i="87" s="1"/>
  <c r="I3" i="87"/>
  <c r="C16" i="86"/>
  <c r="C17" i="86" s="1"/>
  <c r="C18" i="86" s="1"/>
  <c r="F16" i="86"/>
  <c r="F17" i="86" s="1"/>
  <c r="F18" i="86" s="1"/>
  <c r="G16" i="86"/>
  <c r="G17" i="86" s="1"/>
  <c r="G18" i="86" s="1"/>
  <c r="B16" i="86"/>
  <c r="B17" i="86" s="1"/>
  <c r="B18" i="86" s="1"/>
  <c r="D16" i="86"/>
  <c r="D17" i="86" s="1"/>
  <c r="D18" i="86" s="1"/>
  <c r="I5" i="86"/>
  <c r="I10" i="86" s="1"/>
  <c r="I11" i="86" s="1"/>
  <c r="I12" i="86" s="1"/>
  <c r="J3" i="86"/>
  <c r="F16" i="84"/>
  <c r="F17" i="84" s="1"/>
  <c r="F18" i="84" s="1"/>
  <c r="G16" i="84"/>
  <c r="G17" i="84" s="1"/>
  <c r="G18" i="84" s="1"/>
  <c r="B16" i="84"/>
  <c r="B17" i="84" s="1"/>
  <c r="B18" i="84" s="1"/>
  <c r="E16" i="84"/>
  <c r="E17" i="84" s="1"/>
  <c r="E18" i="84" s="1"/>
  <c r="H11" i="84"/>
  <c r="H12" i="84" s="1"/>
  <c r="I3" i="84"/>
  <c r="D16" i="84"/>
  <c r="D17" i="84" s="1"/>
  <c r="D18" i="84" s="1"/>
  <c r="C16" i="84"/>
  <c r="C17" i="84" s="1"/>
  <c r="C18" i="84" s="1"/>
  <c r="C16" i="83"/>
  <c r="C17" i="83" s="1"/>
  <c r="C18" i="83" s="1"/>
  <c r="E16" i="83"/>
  <c r="E17" i="83" s="1"/>
  <c r="E18" i="83" s="1"/>
  <c r="D16" i="83"/>
  <c r="D17" i="83" s="1"/>
  <c r="D18" i="83" s="1"/>
  <c r="H5" i="83"/>
  <c r="H10" i="83" s="1"/>
  <c r="H11" i="83" s="1"/>
  <c r="H12" i="83" s="1"/>
  <c r="I3" i="83"/>
  <c r="G16" i="83"/>
  <c r="G17" i="83" s="1"/>
  <c r="G18" i="83" s="1"/>
  <c r="F16" i="82"/>
  <c r="F17" i="82" s="1"/>
  <c r="F18" i="82" s="1"/>
  <c r="B16" i="82"/>
  <c r="B17" i="82" s="1"/>
  <c r="B18" i="82" s="1"/>
  <c r="H16" i="82"/>
  <c r="H17" i="82" s="1"/>
  <c r="H18" i="82" s="1"/>
  <c r="I5" i="82"/>
  <c r="I10" i="82" s="1"/>
  <c r="I11" i="82" s="1"/>
  <c r="I12" i="82" s="1"/>
  <c r="G16" i="82"/>
  <c r="G17" i="82" s="1"/>
  <c r="G18" i="82" s="1"/>
  <c r="C16" i="82"/>
  <c r="C17" i="82" s="1"/>
  <c r="C18" i="82" s="1"/>
  <c r="D16" i="82"/>
  <c r="D17" i="82" s="1"/>
  <c r="D18" i="82" s="1"/>
  <c r="G16" i="81"/>
  <c r="G17" i="81" s="1"/>
  <c r="G18" i="81" s="1"/>
  <c r="F16" i="81"/>
  <c r="F17" i="81" s="1"/>
  <c r="F18" i="81" s="1"/>
  <c r="D16" i="81"/>
  <c r="D17" i="81" s="1"/>
  <c r="D18" i="81" s="1"/>
  <c r="C16" i="81"/>
  <c r="C17" i="81" s="1"/>
  <c r="C18" i="81" s="1"/>
  <c r="B16" i="81"/>
  <c r="B17" i="81" s="1"/>
  <c r="B18" i="81" s="1"/>
  <c r="E16" i="81"/>
  <c r="E17" i="81" s="1"/>
  <c r="E18" i="81" s="1"/>
  <c r="H5" i="81"/>
  <c r="H10" i="81" s="1"/>
  <c r="H11" i="81" s="1"/>
  <c r="H12" i="81" s="1"/>
  <c r="I3" i="81"/>
  <c r="G16" i="80"/>
  <c r="G17" i="80" s="1"/>
  <c r="G18" i="80" s="1"/>
  <c r="C16" i="80"/>
  <c r="C17" i="80" s="1"/>
  <c r="C18" i="80" s="1"/>
  <c r="I3" i="80"/>
  <c r="H5" i="80"/>
  <c r="H10" i="80" s="1"/>
  <c r="H11" i="80" s="1"/>
  <c r="H12" i="80" s="1"/>
  <c r="E16" i="80"/>
  <c r="E17" i="80" s="1"/>
  <c r="E18" i="80" s="1"/>
  <c r="B16" i="80"/>
  <c r="B17" i="80" s="1"/>
  <c r="B18" i="80" s="1"/>
  <c r="I5" i="90" l="1"/>
  <c r="I10" i="90" s="1"/>
  <c r="I11" i="90" s="1"/>
  <c r="I12" i="90" s="1"/>
  <c r="I16" i="90" s="1"/>
  <c r="I17" i="90" s="1"/>
  <c r="I18" i="90" s="1"/>
  <c r="J5" i="90"/>
  <c r="J10" i="90" s="1"/>
  <c r="J11" i="90" s="1"/>
  <c r="J12" i="90" s="1"/>
  <c r="K3" i="90"/>
  <c r="J3" i="89"/>
  <c r="I5" i="89"/>
  <c r="I10" i="89" s="1"/>
  <c r="I11" i="89" s="1"/>
  <c r="I12" i="89" s="1"/>
  <c r="H16" i="89"/>
  <c r="H17" i="89" s="1"/>
  <c r="H18" i="89" s="1"/>
  <c r="H16" i="88"/>
  <c r="H17" i="88" s="1"/>
  <c r="H18" i="88" s="1"/>
  <c r="J3" i="88"/>
  <c r="I5" i="88"/>
  <c r="I10" i="88" s="1"/>
  <c r="I11" i="88" s="1"/>
  <c r="I12" i="88" s="1"/>
  <c r="H16" i="87"/>
  <c r="H17" i="87" s="1"/>
  <c r="H18" i="87" s="1"/>
  <c r="I5" i="87"/>
  <c r="I10" i="87" s="1"/>
  <c r="I11" i="87" s="1"/>
  <c r="I12" i="87" s="1"/>
  <c r="J3" i="87"/>
  <c r="I16" i="86"/>
  <c r="I17" i="86" s="1"/>
  <c r="I18" i="86" s="1"/>
  <c r="J5" i="86"/>
  <c r="J10" i="86" s="1"/>
  <c r="J11" i="86" s="1"/>
  <c r="J12" i="86" s="1"/>
  <c r="K3" i="86"/>
  <c r="H16" i="84"/>
  <c r="H17" i="84" s="1"/>
  <c r="H18" i="84" s="1"/>
  <c r="J3" i="84"/>
  <c r="I5" i="84"/>
  <c r="I10" i="84" s="1"/>
  <c r="I11" i="84" s="1"/>
  <c r="I12" i="84" s="1"/>
  <c r="H16" i="83"/>
  <c r="H17" i="83" s="1"/>
  <c r="H18" i="83" s="1"/>
  <c r="I5" i="83"/>
  <c r="I10" i="83" s="1"/>
  <c r="I11" i="83" s="1"/>
  <c r="I12" i="83" s="1"/>
  <c r="J3" i="83"/>
  <c r="I16" i="82"/>
  <c r="I17" i="82" s="1"/>
  <c r="I18" i="82" s="1"/>
  <c r="J5" i="82"/>
  <c r="J10" i="82" s="1"/>
  <c r="J11" i="82" s="1"/>
  <c r="J12" i="82" s="1"/>
  <c r="K3" i="82"/>
  <c r="H16" i="81"/>
  <c r="H17" i="81" s="1"/>
  <c r="H18" i="81" s="1"/>
  <c r="I5" i="81"/>
  <c r="I10" i="81" s="1"/>
  <c r="I11" i="81" s="1"/>
  <c r="I12" i="81" s="1"/>
  <c r="J3" i="81"/>
  <c r="H16" i="80"/>
  <c r="H17" i="80" s="1"/>
  <c r="H18" i="80" s="1"/>
  <c r="J3" i="80"/>
  <c r="I5" i="80"/>
  <c r="I10" i="80" s="1"/>
  <c r="I11" i="80" s="1"/>
  <c r="I12" i="80" s="1"/>
  <c r="J16" i="90" l="1"/>
  <c r="J17" i="90" s="1"/>
  <c r="J18" i="90" s="1"/>
  <c r="K5" i="90"/>
  <c r="K10" i="90" s="1"/>
  <c r="K11" i="90" s="1"/>
  <c r="K12" i="90" s="1"/>
  <c r="I16" i="89"/>
  <c r="I17" i="89" s="1"/>
  <c r="I18" i="89" s="1"/>
  <c r="K3" i="89"/>
  <c r="J5" i="89"/>
  <c r="J10" i="89" s="1"/>
  <c r="J11" i="89" s="1"/>
  <c r="J12" i="89" s="1"/>
  <c r="J5" i="88"/>
  <c r="J10" i="88" s="1"/>
  <c r="J11" i="88" s="1"/>
  <c r="J12" i="88" s="1"/>
  <c r="K3" i="88"/>
  <c r="I16" i="88"/>
  <c r="I17" i="88" s="1"/>
  <c r="I18" i="88" s="1"/>
  <c r="I16" i="87"/>
  <c r="I17" i="87" s="1"/>
  <c r="I18" i="87" s="1"/>
  <c r="J5" i="87"/>
  <c r="J10" i="87" s="1"/>
  <c r="J11" i="87" s="1"/>
  <c r="J12" i="87" s="1"/>
  <c r="K3" i="87"/>
  <c r="J16" i="86"/>
  <c r="J17" i="86" s="1"/>
  <c r="J18" i="86" s="1"/>
  <c r="K5" i="86"/>
  <c r="K10" i="86" s="1"/>
  <c r="K11" i="86" s="1"/>
  <c r="K12" i="86" s="1"/>
  <c r="I16" i="84"/>
  <c r="I17" i="84" s="1"/>
  <c r="I18" i="84" s="1"/>
  <c r="K3" i="84"/>
  <c r="J5" i="84"/>
  <c r="J10" i="84" s="1"/>
  <c r="J11" i="84" s="1"/>
  <c r="J12" i="84" s="1"/>
  <c r="I16" i="83"/>
  <c r="I17" i="83" s="1"/>
  <c r="I18" i="83" s="1"/>
  <c r="J5" i="83"/>
  <c r="J10" i="83" s="1"/>
  <c r="J11" i="83" s="1"/>
  <c r="J12" i="83" s="1"/>
  <c r="K3" i="83"/>
  <c r="J16" i="82"/>
  <c r="J17" i="82" s="1"/>
  <c r="J18" i="82" s="1"/>
  <c r="K5" i="82"/>
  <c r="K10" i="82" s="1"/>
  <c r="K11" i="82" s="1"/>
  <c r="K12" i="82" s="1"/>
  <c r="I16" i="81"/>
  <c r="I17" i="81" s="1"/>
  <c r="I18" i="81" s="1"/>
  <c r="J5" i="81"/>
  <c r="J10" i="81" s="1"/>
  <c r="J11" i="81" s="1"/>
  <c r="J12" i="81" s="1"/>
  <c r="K3" i="81"/>
  <c r="I16" i="80"/>
  <c r="I17" i="80" s="1"/>
  <c r="I18" i="80" s="1"/>
  <c r="K3" i="80"/>
  <c r="J5" i="80"/>
  <c r="J10" i="80" s="1"/>
  <c r="J11" i="80" s="1"/>
  <c r="J12" i="80" s="1"/>
  <c r="K16" i="90" l="1"/>
  <c r="K17" i="90" s="1"/>
  <c r="K18" i="90" s="1"/>
  <c r="J16" i="89"/>
  <c r="J17" i="89" s="1"/>
  <c r="J18" i="89" s="1"/>
  <c r="K5" i="89"/>
  <c r="K10" i="89" s="1"/>
  <c r="K11" i="89" s="1"/>
  <c r="K12" i="89" s="1"/>
  <c r="K5" i="88"/>
  <c r="K10" i="88" s="1"/>
  <c r="K11" i="88" s="1"/>
  <c r="K12" i="88" s="1"/>
  <c r="J16" i="88"/>
  <c r="J17" i="88" s="1"/>
  <c r="J18" i="88" s="1"/>
  <c r="J16" i="87"/>
  <c r="J17" i="87" s="1"/>
  <c r="J18" i="87" s="1"/>
  <c r="K5" i="87"/>
  <c r="K10" i="87" s="1"/>
  <c r="K11" i="87" s="1"/>
  <c r="K12" i="87" s="1"/>
  <c r="K16" i="86"/>
  <c r="K17" i="86" s="1"/>
  <c r="K18" i="86" s="1"/>
  <c r="J16" i="84"/>
  <c r="J17" i="84" s="1"/>
  <c r="J18" i="84" s="1"/>
  <c r="K5" i="84"/>
  <c r="K10" i="84" s="1"/>
  <c r="K11" i="84" s="1"/>
  <c r="K12" i="84" s="1"/>
  <c r="J16" i="83"/>
  <c r="J17" i="83" s="1"/>
  <c r="J18" i="83" s="1"/>
  <c r="K5" i="83"/>
  <c r="K10" i="83" s="1"/>
  <c r="K11" i="83" s="1"/>
  <c r="K12" i="83" s="1"/>
  <c r="K16" i="82"/>
  <c r="K17" i="82" s="1"/>
  <c r="K18" i="82" s="1"/>
  <c r="J16" i="81"/>
  <c r="J17" i="81" s="1"/>
  <c r="J18" i="81" s="1"/>
  <c r="K5" i="81"/>
  <c r="K10" i="81" s="1"/>
  <c r="K11" i="81" s="1"/>
  <c r="K12" i="81" s="1"/>
  <c r="K5" i="80"/>
  <c r="K10" i="80" s="1"/>
  <c r="K11" i="80" s="1"/>
  <c r="K12" i="80" s="1"/>
  <c r="J16" i="80"/>
  <c r="J17" i="80" s="1"/>
  <c r="J18" i="80" s="1"/>
  <c r="K16" i="89" l="1"/>
  <c r="K17" i="89" s="1"/>
  <c r="K18" i="89" s="1"/>
  <c r="K16" i="88"/>
  <c r="K17" i="88" s="1"/>
  <c r="K18" i="88" s="1"/>
  <c r="K16" i="87"/>
  <c r="K17" i="87" s="1"/>
  <c r="K18" i="87" s="1"/>
  <c r="K16" i="84"/>
  <c r="K17" i="84" s="1"/>
  <c r="K18" i="84" s="1"/>
  <c r="K16" i="83"/>
  <c r="K17" i="83" s="1"/>
  <c r="K18" i="83" s="1"/>
  <c r="K16" i="81"/>
  <c r="K17" i="81" s="1"/>
  <c r="K18" i="81" s="1"/>
  <c r="K16" i="80"/>
  <c r="K17" i="80" s="1"/>
  <c r="K18" i="80" s="1"/>
  <c r="K7" i="79" l="1"/>
  <c r="H7" i="79"/>
  <c r="G7" i="79"/>
  <c r="D7" i="79"/>
  <c r="D8" i="79" s="1"/>
  <c r="D10" i="79" s="1"/>
  <c r="C7" i="79"/>
  <c r="C8" i="79" s="1"/>
  <c r="C10" i="79" s="1"/>
  <c r="H8" i="79" l="1"/>
  <c r="H10" i="79" s="1"/>
  <c r="K8" i="79"/>
  <c r="K10" i="79" s="1"/>
  <c r="G8" i="79"/>
  <c r="G10" i="79" s="1"/>
  <c r="D41" i="76"/>
  <c r="C41" i="76"/>
  <c r="B7" i="79"/>
  <c r="B8" i="79" s="1"/>
  <c r="B10" i="79" s="1"/>
  <c r="F7" i="79"/>
  <c r="F8" i="79" s="1"/>
  <c r="F10" i="79" s="1"/>
  <c r="J7" i="79"/>
  <c r="J8" i="79" s="1"/>
  <c r="J10" i="79" s="1"/>
  <c r="E7" i="79"/>
  <c r="E8" i="79" s="1"/>
  <c r="E10" i="79" s="1"/>
  <c r="I7" i="79"/>
  <c r="I8" i="79" s="1"/>
  <c r="I10" i="79" s="1"/>
  <c r="H41" i="76" l="1"/>
  <c r="G41" i="76"/>
  <c r="K41" i="76"/>
  <c r="F41" i="76"/>
  <c r="B41" i="76"/>
  <c r="E41" i="76"/>
  <c r="J41" i="76"/>
  <c r="I41" i="76"/>
  <c r="F4" i="29" l="1"/>
  <c r="G4" i="29"/>
  <c r="J6" i="8" l="1"/>
  <c r="K6" i="8" s="1"/>
  <c r="C4" i="72"/>
  <c r="C3" i="72" s="1"/>
  <c r="D4" i="72"/>
  <c r="D3" i="72" s="1"/>
  <c r="E4" i="72"/>
  <c r="E3" i="72" s="1"/>
  <c r="F4" i="72"/>
  <c r="F3" i="72" s="1"/>
  <c r="G4" i="72"/>
  <c r="G3" i="72" s="1"/>
  <c r="B4" i="72"/>
  <c r="B3" i="72" s="1"/>
  <c r="K15" i="72"/>
  <c r="J15" i="72"/>
  <c r="I15" i="72"/>
  <c r="H15" i="72"/>
  <c r="G15" i="72"/>
  <c r="F15" i="72"/>
  <c r="E15" i="72"/>
  <c r="D15" i="72"/>
  <c r="C15" i="72"/>
  <c r="B15" i="72"/>
  <c r="N4" i="72"/>
  <c r="H4" i="72" l="1"/>
  <c r="F5" i="72"/>
  <c r="F10" i="72" s="1"/>
  <c r="B5" i="72"/>
  <c r="B10" i="72" s="1"/>
  <c r="B11" i="72" s="1"/>
  <c r="C5" i="72"/>
  <c r="C10" i="72" s="1"/>
  <c r="G5" i="72"/>
  <c r="G10" i="72" s="1"/>
  <c r="D5" i="72"/>
  <c r="D10" i="72" s="1"/>
  <c r="E5" i="72"/>
  <c r="E10" i="72" s="1"/>
  <c r="B3" i="51"/>
  <c r="C4" i="51"/>
  <c r="D4" i="51"/>
  <c r="E4" i="51"/>
  <c r="F4" i="51"/>
  <c r="G4" i="51"/>
  <c r="B4" i="51"/>
  <c r="C3" i="51"/>
  <c r="D3" i="51"/>
  <c r="E3" i="51"/>
  <c r="F3" i="51"/>
  <c r="G3" i="51"/>
  <c r="N4" i="51"/>
  <c r="K15" i="51"/>
  <c r="J15" i="51"/>
  <c r="I15" i="51"/>
  <c r="H15" i="51"/>
  <c r="G15" i="51"/>
  <c r="F15" i="51"/>
  <c r="E15" i="51"/>
  <c r="D15" i="51"/>
  <c r="C15" i="51"/>
  <c r="B15" i="51"/>
  <c r="K15" i="48"/>
  <c r="J15" i="48"/>
  <c r="I15" i="48"/>
  <c r="H15" i="48"/>
  <c r="G15" i="48"/>
  <c r="F15" i="48"/>
  <c r="E15" i="48"/>
  <c r="D15" i="48"/>
  <c r="C15" i="48"/>
  <c r="B15" i="48"/>
  <c r="N4" i="48"/>
  <c r="C4" i="45"/>
  <c r="D4" i="45"/>
  <c r="E4" i="45"/>
  <c r="F4" i="45"/>
  <c r="G4" i="45"/>
  <c r="B4" i="45"/>
  <c r="K15" i="45"/>
  <c r="J15" i="45"/>
  <c r="I15" i="45"/>
  <c r="H15" i="45"/>
  <c r="G15" i="45"/>
  <c r="F15" i="45"/>
  <c r="E15" i="45"/>
  <c r="D15" i="45"/>
  <c r="C15" i="45"/>
  <c r="B15" i="45"/>
  <c r="N5" i="45"/>
  <c r="N4" i="45"/>
  <c r="K15" i="46"/>
  <c r="J15" i="46"/>
  <c r="I15" i="46"/>
  <c r="H15" i="46"/>
  <c r="G15" i="46"/>
  <c r="F15" i="46"/>
  <c r="E15" i="46"/>
  <c r="D15" i="46"/>
  <c r="C15" i="46"/>
  <c r="B15" i="46"/>
  <c r="N5" i="46"/>
  <c r="N4" i="46"/>
  <c r="K15" i="35"/>
  <c r="J15" i="35"/>
  <c r="I15" i="35"/>
  <c r="H15" i="35"/>
  <c r="G15" i="35"/>
  <c r="F15" i="35"/>
  <c r="E15" i="35"/>
  <c r="D15" i="35"/>
  <c r="C15" i="35"/>
  <c r="B15" i="35"/>
  <c r="N5" i="35"/>
  <c r="N4" i="35"/>
  <c r="C8" i="35"/>
  <c r="D8" i="35" s="1"/>
  <c r="E8" i="35" s="1"/>
  <c r="F8" i="35" s="1"/>
  <c r="G8" i="35" s="1"/>
  <c r="H8" i="35" s="1"/>
  <c r="I8" i="35" s="1"/>
  <c r="J8" i="35" s="1"/>
  <c r="K8" i="35" s="1"/>
  <c r="C4" i="71"/>
  <c r="D4" i="71"/>
  <c r="E4" i="71"/>
  <c r="F4" i="71"/>
  <c r="G4" i="71"/>
  <c r="B4" i="71"/>
  <c r="H15" i="71"/>
  <c r="D15" i="71"/>
  <c r="I15" i="71"/>
  <c r="N5" i="71"/>
  <c r="N4" i="71"/>
  <c r="D3" i="71" l="1"/>
  <c r="D5" i="71" s="1"/>
  <c r="D10" i="71" s="1"/>
  <c r="D11" i="71" s="1"/>
  <c r="D12" i="71" s="1"/>
  <c r="D16" i="71" s="1"/>
  <c r="H4" i="45"/>
  <c r="I4" i="45" s="1"/>
  <c r="J4" i="45" s="1"/>
  <c r="K4" i="45" s="1"/>
  <c r="H4" i="51"/>
  <c r="I4" i="51" s="1"/>
  <c r="J4" i="51" s="1"/>
  <c r="K4" i="51" s="1"/>
  <c r="F5" i="51"/>
  <c r="G11" i="72"/>
  <c r="G12" i="72" s="1"/>
  <c r="G16" i="72" s="1"/>
  <c r="G17" i="72" s="1"/>
  <c r="G18" i="72" s="1"/>
  <c r="F11" i="72"/>
  <c r="F12" i="72" s="1"/>
  <c r="F16" i="72" s="1"/>
  <c r="F17" i="72" s="1"/>
  <c r="F18" i="72" s="1"/>
  <c r="E11" i="72"/>
  <c r="E12" i="72" s="1"/>
  <c r="E16" i="72" s="1"/>
  <c r="E17" i="72" s="1"/>
  <c r="E18" i="72" s="1"/>
  <c r="C11" i="72"/>
  <c r="D11" i="72"/>
  <c r="D12" i="72" s="1"/>
  <c r="G3" i="71"/>
  <c r="G5" i="71" s="1"/>
  <c r="G10" i="71" s="1"/>
  <c r="F3" i="71"/>
  <c r="F5" i="71" s="1"/>
  <c r="F10" i="71" s="1"/>
  <c r="E5" i="51"/>
  <c r="C3" i="71"/>
  <c r="C5" i="71" s="1"/>
  <c r="C10" i="71" s="1"/>
  <c r="C11" i="71" s="1"/>
  <c r="C12" i="71" s="1"/>
  <c r="C16" i="71" s="1"/>
  <c r="B3" i="71"/>
  <c r="B5" i="71" s="1"/>
  <c r="B10" i="71" s="1"/>
  <c r="B11" i="71" s="1"/>
  <c r="B12" i="71" s="1"/>
  <c r="B16" i="71" s="1"/>
  <c r="E3" i="71"/>
  <c r="E5" i="71" s="1"/>
  <c r="E10" i="71" s="1"/>
  <c r="D5" i="51"/>
  <c r="C8" i="45"/>
  <c r="D8" i="45" s="1"/>
  <c r="E8" i="45" s="1"/>
  <c r="F8" i="45" s="1"/>
  <c r="G8" i="45" s="1"/>
  <c r="H8" i="45" s="1"/>
  <c r="I8" i="45" s="1"/>
  <c r="J8" i="45" s="1"/>
  <c r="K8" i="45" s="1"/>
  <c r="B5" i="51"/>
  <c r="G5" i="51"/>
  <c r="C5" i="51"/>
  <c r="I4" i="72"/>
  <c r="H3" i="72"/>
  <c r="B12" i="72"/>
  <c r="B16" i="72" s="1"/>
  <c r="B17" i="72" s="1"/>
  <c r="B18" i="72" s="1"/>
  <c r="C12" i="72"/>
  <c r="H3" i="51"/>
  <c r="C8" i="51"/>
  <c r="D8" i="51" s="1"/>
  <c r="E8" i="51" s="1"/>
  <c r="F8" i="51" s="1"/>
  <c r="G8" i="51" s="1"/>
  <c r="H8" i="51" s="1"/>
  <c r="I8" i="51" s="1"/>
  <c r="J8" i="51" s="1"/>
  <c r="K8" i="51" s="1"/>
  <c r="H4" i="71"/>
  <c r="B15" i="71"/>
  <c r="F15" i="71"/>
  <c r="J15" i="71"/>
  <c r="C15" i="71"/>
  <c r="G15" i="71"/>
  <c r="K15" i="71"/>
  <c r="E15" i="71"/>
  <c r="E11" i="71" l="1"/>
  <c r="E12" i="71" s="1"/>
  <c r="E16" i="71" s="1"/>
  <c r="E17" i="71" s="1"/>
  <c r="E18" i="71" s="1"/>
  <c r="B31" i="76"/>
  <c r="E31" i="76"/>
  <c r="F31" i="76"/>
  <c r="G31" i="76"/>
  <c r="I3" i="51"/>
  <c r="H5" i="51"/>
  <c r="H5" i="72"/>
  <c r="J4" i="72"/>
  <c r="I3" i="72"/>
  <c r="D16" i="72"/>
  <c r="D17" i="72" s="1"/>
  <c r="D18" i="72" s="1"/>
  <c r="C16" i="72"/>
  <c r="C17" i="72" s="1"/>
  <c r="C18" i="72" s="1"/>
  <c r="B5" i="45"/>
  <c r="B10" i="45" s="1"/>
  <c r="B11" i="45" s="1"/>
  <c r="B12" i="45" s="1"/>
  <c r="C10" i="51"/>
  <c r="C11" i="51" s="1"/>
  <c r="B10" i="51"/>
  <c r="B11" i="51" s="1"/>
  <c r="C3" i="45"/>
  <c r="D3" i="45" s="1"/>
  <c r="I4" i="71"/>
  <c r="H3" i="71"/>
  <c r="H5" i="71" s="1"/>
  <c r="H10" i="71" s="1"/>
  <c r="B17" i="71"/>
  <c r="B18" i="71" s="1"/>
  <c r="C17" i="71"/>
  <c r="C18" i="71" s="1"/>
  <c r="F11" i="71"/>
  <c r="F12" i="71" s="1"/>
  <c r="F16" i="71" s="1"/>
  <c r="D17" i="71"/>
  <c r="D18" i="71" s="1"/>
  <c r="C36" i="76" l="1"/>
  <c r="D36" i="76"/>
  <c r="E36" i="76"/>
  <c r="C31" i="76"/>
  <c r="D31" i="76"/>
  <c r="B36" i="76"/>
  <c r="I5" i="72"/>
  <c r="I10" i="72" s="1"/>
  <c r="I11" i="72" s="1"/>
  <c r="J3" i="51"/>
  <c r="I5" i="51"/>
  <c r="C12" i="51"/>
  <c r="C16" i="51" s="1"/>
  <c r="C17" i="51" s="1"/>
  <c r="C18" i="51" s="1"/>
  <c r="B12" i="51"/>
  <c r="B16" i="51" s="1"/>
  <c r="B17" i="51" s="1"/>
  <c r="B18" i="51" s="1"/>
  <c r="H10" i="72"/>
  <c r="H11" i="72" s="1"/>
  <c r="K4" i="72"/>
  <c r="K3" i="72" s="1"/>
  <c r="J3" i="72"/>
  <c r="J5" i="72" s="1"/>
  <c r="B16" i="45"/>
  <c r="B17" i="45" s="1"/>
  <c r="B18" i="45" s="1"/>
  <c r="C5" i="45"/>
  <c r="C10" i="45" s="1"/>
  <c r="C11" i="45" s="1"/>
  <c r="C12" i="45" s="1"/>
  <c r="C16" i="45" s="1"/>
  <c r="C17" i="45" s="1"/>
  <c r="C18" i="45" s="1"/>
  <c r="D10" i="51"/>
  <c r="D5" i="45"/>
  <c r="D10" i="45" s="1"/>
  <c r="D11" i="45" s="1"/>
  <c r="D12" i="45" s="1"/>
  <c r="D16" i="45" s="1"/>
  <c r="E3" i="45"/>
  <c r="J4" i="71"/>
  <c r="I3" i="71"/>
  <c r="I5" i="71" s="1"/>
  <c r="I10" i="71" s="1"/>
  <c r="I11" i="71" s="1"/>
  <c r="I12" i="71" s="1"/>
  <c r="I16" i="71" s="1"/>
  <c r="F17" i="71"/>
  <c r="F18" i="71" s="1"/>
  <c r="G11" i="71"/>
  <c r="G12" i="71" s="1"/>
  <c r="G16" i="71" s="1"/>
  <c r="F36" i="76" l="1"/>
  <c r="B55" i="76"/>
  <c r="C55" i="76"/>
  <c r="C20" i="76"/>
  <c r="B20" i="76"/>
  <c r="K3" i="51"/>
  <c r="K5" i="51" s="1"/>
  <c r="J5" i="51"/>
  <c r="D11" i="51"/>
  <c r="D12" i="51" s="1"/>
  <c r="D16" i="51" s="1"/>
  <c r="D17" i="51" s="1"/>
  <c r="D18" i="51" s="1"/>
  <c r="J10" i="72"/>
  <c r="J11" i="72" s="1"/>
  <c r="J12" i="72" s="1"/>
  <c r="J16" i="72" s="1"/>
  <c r="J17" i="72" s="1"/>
  <c r="J18" i="72" s="1"/>
  <c r="H12" i="72"/>
  <c r="H16" i="72" s="1"/>
  <c r="H17" i="72" s="1"/>
  <c r="H18" i="72" s="1"/>
  <c r="I12" i="72"/>
  <c r="I16" i="72" s="1"/>
  <c r="I17" i="72" s="1"/>
  <c r="I18" i="72" s="1"/>
  <c r="K5" i="72"/>
  <c r="E10" i="51"/>
  <c r="D17" i="45"/>
  <c r="D18" i="45" s="1"/>
  <c r="E5" i="45"/>
  <c r="E10" i="45" s="1"/>
  <c r="E11" i="45" s="1"/>
  <c r="E12" i="45" s="1"/>
  <c r="E16" i="45" s="1"/>
  <c r="F3" i="45"/>
  <c r="K4" i="71"/>
  <c r="K3" i="71" s="1"/>
  <c r="J3" i="71"/>
  <c r="J5" i="71" s="1"/>
  <c r="J10" i="71" s="1"/>
  <c r="J11" i="71" s="1"/>
  <c r="J12" i="71" s="1"/>
  <c r="J16" i="71" s="1"/>
  <c r="G17" i="71"/>
  <c r="G18" i="71" s="1"/>
  <c r="I17" i="71"/>
  <c r="I18" i="71" s="1"/>
  <c r="H11" i="71"/>
  <c r="H12" i="71" s="1"/>
  <c r="H16" i="71" s="1"/>
  <c r="D20" i="76" l="1"/>
  <c r="H31" i="76"/>
  <c r="J31" i="76"/>
  <c r="I31" i="76"/>
  <c r="D55" i="76"/>
  <c r="I36" i="76"/>
  <c r="G36" i="76"/>
  <c r="E11" i="51"/>
  <c r="E12" i="51" s="1"/>
  <c r="E16" i="51" s="1"/>
  <c r="E17" i="51" s="1"/>
  <c r="E18" i="51" s="1"/>
  <c r="K10" i="72"/>
  <c r="K11" i="72" s="1"/>
  <c r="F10" i="51"/>
  <c r="F11" i="51" s="1"/>
  <c r="E17" i="45"/>
  <c r="E18" i="45" s="1"/>
  <c r="F5" i="45"/>
  <c r="F10" i="45" s="1"/>
  <c r="F11" i="45" s="1"/>
  <c r="F12" i="45" s="1"/>
  <c r="F16" i="45" s="1"/>
  <c r="G3" i="45"/>
  <c r="H17" i="71"/>
  <c r="H18" i="71" s="1"/>
  <c r="J17" i="71"/>
  <c r="J18" i="71" s="1"/>
  <c r="K5" i="71"/>
  <c r="K10" i="71" s="1"/>
  <c r="K11" i="71" s="1"/>
  <c r="K12" i="71" s="1"/>
  <c r="K16" i="71" s="1"/>
  <c r="E55" i="76" l="1"/>
  <c r="E20" i="76"/>
  <c r="H36" i="76"/>
  <c r="J36" i="76"/>
  <c r="F12" i="51"/>
  <c r="F16" i="51" s="1"/>
  <c r="F17" i="51" s="1"/>
  <c r="F18" i="51" s="1"/>
  <c r="K12" i="72"/>
  <c r="K16" i="72" s="1"/>
  <c r="K17" i="72" s="1"/>
  <c r="K18" i="72" s="1"/>
  <c r="G10" i="51"/>
  <c r="G11" i="51" s="1"/>
  <c r="F17" i="45"/>
  <c r="F18" i="45" s="1"/>
  <c r="G5" i="45"/>
  <c r="G10" i="45" s="1"/>
  <c r="G11" i="45" s="1"/>
  <c r="G12" i="45" s="1"/>
  <c r="G16" i="45" s="1"/>
  <c r="H3" i="45"/>
  <c r="K17" i="71"/>
  <c r="K18" i="71" s="1"/>
  <c r="K36" i="76" l="1"/>
  <c r="K31" i="76"/>
  <c r="F20" i="76"/>
  <c r="F55" i="76"/>
  <c r="G12" i="51"/>
  <c r="G16" i="51" s="1"/>
  <c r="G17" i="51" s="1"/>
  <c r="G18" i="51" s="1"/>
  <c r="H10" i="51"/>
  <c r="G17" i="45"/>
  <c r="G18" i="45" s="1"/>
  <c r="H5" i="45"/>
  <c r="H10" i="45" s="1"/>
  <c r="H11" i="45" s="1"/>
  <c r="H12" i="45" s="1"/>
  <c r="H16" i="45" s="1"/>
  <c r="I3" i="45"/>
  <c r="G20" i="76" l="1"/>
  <c r="G55" i="76"/>
  <c r="H11" i="51"/>
  <c r="H12" i="51" s="1"/>
  <c r="H16" i="51" s="1"/>
  <c r="H17" i="51" s="1"/>
  <c r="H18" i="51" s="1"/>
  <c r="I10" i="51"/>
  <c r="I11" i="51" s="1"/>
  <c r="H17" i="45"/>
  <c r="H18" i="45" s="1"/>
  <c r="I5" i="45"/>
  <c r="I10" i="45" s="1"/>
  <c r="I11" i="45" s="1"/>
  <c r="I12" i="45" s="1"/>
  <c r="I16" i="45" s="1"/>
  <c r="J3" i="45"/>
  <c r="H55" i="76" l="1"/>
  <c r="H20" i="76"/>
  <c r="I12" i="51"/>
  <c r="I16" i="51" s="1"/>
  <c r="I17" i="51" s="1"/>
  <c r="I18" i="51" s="1"/>
  <c r="J10" i="51"/>
  <c r="J11" i="51" s="1"/>
  <c r="I17" i="45"/>
  <c r="I18" i="45" s="1"/>
  <c r="J5" i="45"/>
  <c r="J10" i="45" s="1"/>
  <c r="J11" i="45" s="1"/>
  <c r="J12" i="45" s="1"/>
  <c r="J16" i="45" s="1"/>
  <c r="K3" i="45"/>
  <c r="K15" i="13"/>
  <c r="H15" i="4"/>
  <c r="J15" i="10"/>
  <c r="C15" i="5"/>
  <c r="K15" i="7"/>
  <c r="I15" i="3"/>
  <c r="K15" i="6"/>
  <c r="H15" i="9"/>
  <c r="I15" i="19"/>
  <c r="K15" i="8"/>
  <c r="J15" i="8"/>
  <c r="I15" i="8"/>
  <c r="H15" i="8"/>
  <c r="G15" i="8"/>
  <c r="F15" i="8"/>
  <c r="E15" i="8"/>
  <c r="D15" i="8"/>
  <c r="C15" i="8"/>
  <c r="B15" i="8"/>
  <c r="K15" i="11"/>
  <c r="J15" i="11"/>
  <c r="I15" i="11"/>
  <c r="H15" i="11"/>
  <c r="G15" i="11"/>
  <c r="F15" i="11"/>
  <c r="E15" i="11"/>
  <c r="D15" i="11"/>
  <c r="C15" i="11"/>
  <c r="B15" i="11"/>
  <c r="K15" i="14"/>
  <c r="J15" i="14"/>
  <c r="I15" i="14"/>
  <c r="H15" i="14"/>
  <c r="G15" i="14"/>
  <c r="F15" i="14"/>
  <c r="E15" i="14"/>
  <c r="D15" i="14"/>
  <c r="C15" i="14"/>
  <c r="B15" i="14"/>
  <c r="K15" i="15"/>
  <c r="J15" i="15"/>
  <c r="I15" i="15"/>
  <c r="H15" i="15"/>
  <c r="G15" i="15"/>
  <c r="F15" i="15"/>
  <c r="E15" i="15"/>
  <c r="D15" i="15"/>
  <c r="C15" i="15"/>
  <c r="B15" i="15"/>
  <c r="K15" i="16"/>
  <c r="J15" i="16"/>
  <c r="I15" i="16"/>
  <c r="H15" i="16"/>
  <c r="G15" i="16"/>
  <c r="F15" i="16"/>
  <c r="E15" i="16"/>
  <c r="D15" i="16"/>
  <c r="C15" i="16"/>
  <c r="B15" i="16"/>
  <c r="K15" i="17"/>
  <c r="J15" i="17"/>
  <c r="I15" i="17"/>
  <c r="H15" i="17"/>
  <c r="G15" i="17"/>
  <c r="F15" i="17"/>
  <c r="E15" i="17"/>
  <c r="D15" i="17"/>
  <c r="C15" i="17"/>
  <c r="B15" i="17"/>
  <c r="K15" i="18"/>
  <c r="J15" i="18"/>
  <c r="I15" i="18"/>
  <c r="H15" i="18"/>
  <c r="G15" i="18"/>
  <c r="F15" i="18"/>
  <c r="E15" i="18"/>
  <c r="D15" i="18"/>
  <c r="C15" i="18"/>
  <c r="B15" i="18"/>
  <c r="K15" i="58"/>
  <c r="J15" i="58"/>
  <c r="I15" i="58"/>
  <c r="H15" i="58"/>
  <c r="G15" i="58"/>
  <c r="F15" i="58"/>
  <c r="E15" i="58"/>
  <c r="D15" i="58"/>
  <c r="C15" i="58"/>
  <c r="B15" i="58"/>
  <c r="K15" i="29"/>
  <c r="J15" i="29"/>
  <c r="I15" i="29"/>
  <c r="H15" i="29"/>
  <c r="G15" i="29"/>
  <c r="F15" i="29"/>
  <c r="E15" i="29"/>
  <c r="D15" i="29"/>
  <c r="C15" i="29"/>
  <c r="B15" i="29"/>
  <c r="K15" i="31"/>
  <c r="J15" i="31"/>
  <c r="I15" i="31"/>
  <c r="H15" i="31"/>
  <c r="G15" i="31"/>
  <c r="F15" i="31"/>
  <c r="E15" i="31"/>
  <c r="D15" i="31"/>
  <c r="C15" i="31"/>
  <c r="B15" i="31"/>
  <c r="K15" i="32"/>
  <c r="J15" i="32"/>
  <c r="I15" i="32"/>
  <c r="H15" i="32"/>
  <c r="G15" i="32"/>
  <c r="F15" i="32"/>
  <c r="E15" i="32"/>
  <c r="D15" i="32"/>
  <c r="C15" i="32"/>
  <c r="B15" i="32"/>
  <c r="K15" i="33"/>
  <c r="J15" i="33"/>
  <c r="I15" i="33"/>
  <c r="H15" i="33"/>
  <c r="G15" i="33"/>
  <c r="F15" i="33"/>
  <c r="E15" i="33"/>
  <c r="D15" i="33"/>
  <c r="C15" i="33"/>
  <c r="B15" i="33"/>
  <c r="K15" i="34"/>
  <c r="J15" i="34"/>
  <c r="I15" i="34"/>
  <c r="H15" i="34"/>
  <c r="G15" i="34"/>
  <c r="F15" i="34"/>
  <c r="E15" i="34"/>
  <c r="D15" i="34"/>
  <c r="C15" i="34"/>
  <c r="B15" i="34"/>
  <c r="K15" i="36"/>
  <c r="J15" i="36"/>
  <c r="I15" i="36"/>
  <c r="H15" i="36"/>
  <c r="G15" i="36"/>
  <c r="F15" i="36"/>
  <c r="E15" i="36"/>
  <c r="D15" i="36"/>
  <c r="C15" i="36"/>
  <c r="B15" i="36"/>
  <c r="K15" i="37"/>
  <c r="J15" i="37"/>
  <c r="I15" i="37"/>
  <c r="H15" i="37"/>
  <c r="G15" i="37"/>
  <c r="F15" i="37"/>
  <c r="E15" i="37"/>
  <c r="D15" i="37"/>
  <c r="C15" i="37"/>
  <c r="B15" i="37"/>
  <c r="K15" i="38"/>
  <c r="J15" i="38"/>
  <c r="I15" i="38"/>
  <c r="H15" i="38"/>
  <c r="G15" i="38"/>
  <c r="F15" i="38"/>
  <c r="E15" i="38"/>
  <c r="D15" i="38"/>
  <c r="C15" i="38"/>
  <c r="B15" i="38"/>
  <c r="K15" i="39"/>
  <c r="J15" i="39"/>
  <c r="I15" i="39"/>
  <c r="H15" i="39"/>
  <c r="G15" i="39"/>
  <c r="F15" i="39"/>
  <c r="E15" i="39"/>
  <c r="D15" i="39"/>
  <c r="C15" i="39"/>
  <c r="B15" i="39"/>
  <c r="K15" i="40"/>
  <c r="J15" i="40"/>
  <c r="I15" i="40"/>
  <c r="H15" i="40"/>
  <c r="G15" i="40"/>
  <c r="F15" i="40"/>
  <c r="E15" i="40"/>
  <c r="D15" i="40"/>
  <c r="C15" i="40"/>
  <c r="B15" i="40"/>
  <c r="K15" i="41"/>
  <c r="J15" i="41"/>
  <c r="I15" i="41"/>
  <c r="H15" i="41"/>
  <c r="G15" i="41"/>
  <c r="F15" i="41"/>
  <c r="E15" i="41"/>
  <c r="D15" i="41"/>
  <c r="C15" i="41"/>
  <c r="B15" i="41"/>
  <c r="K15" i="42"/>
  <c r="J15" i="42"/>
  <c r="I15" i="42"/>
  <c r="H15" i="42"/>
  <c r="G15" i="42"/>
  <c r="F15" i="42"/>
  <c r="E15" i="42"/>
  <c r="D15" i="42"/>
  <c r="C15" i="42"/>
  <c r="B15" i="42"/>
  <c r="K15" i="43"/>
  <c r="J15" i="43"/>
  <c r="I15" i="43"/>
  <c r="H15" i="43"/>
  <c r="G15" i="43"/>
  <c r="F15" i="43"/>
  <c r="E15" i="43"/>
  <c r="D15" i="43"/>
  <c r="C15" i="43"/>
  <c r="B15" i="43"/>
  <c r="K15" i="44"/>
  <c r="J15" i="44"/>
  <c r="I15" i="44"/>
  <c r="H15" i="44"/>
  <c r="G15" i="44"/>
  <c r="F15" i="44"/>
  <c r="E15" i="44"/>
  <c r="D15" i="44"/>
  <c r="C15" i="44"/>
  <c r="B15" i="44"/>
  <c r="K15" i="47"/>
  <c r="J15" i="47"/>
  <c r="I15" i="47"/>
  <c r="H15" i="47"/>
  <c r="G15" i="47"/>
  <c r="F15" i="47"/>
  <c r="E15" i="47"/>
  <c r="D15" i="47"/>
  <c r="C15" i="47"/>
  <c r="B15" i="47"/>
  <c r="K15" i="49"/>
  <c r="J15" i="49"/>
  <c r="I15" i="49"/>
  <c r="H15" i="49"/>
  <c r="G15" i="49"/>
  <c r="F15" i="49"/>
  <c r="E15" i="49"/>
  <c r="D15" i="49"/>
  <c r="C15" i="49"/>
  <c r="B15" i="49"/>
  <c r="B3" i="34"/>
  <c r="G4" i="4"/>
  <c r="F4" i="4"/>
  <c r="E4" i="4"/>
  <c r="D4" i="4"/>
  <c r="C4" i="4"/>
  <c r="B4" i="4"/>
  <c r="G4" i="3"/>
  <c r="F4" i="3"/>
  <c r="E4" i="3"/>
  <c r="D4" i="3"/>
  <c r="C4" i="3"/>
  <c r="B4" i="3"/>
  <c r="G4" i="5"/>
  <c r="F4" i="5"/>
  <c r="E4" i="5"/>
  <c r="D4" i="5"/>
  <c r="C4" i="5"/>
  <c r="B4" i="5"/>
  <c r="G4" i="6"/>
  <c r="F4" i="6"/>
  <c r="E4" i="6"/>
  <c r="D4" i="6"/>
  <c r="C4" i="6"/>
  <c r="B4" i="6"/>
  <c r="G4" i="7"/>
  <c r="F4" i="7"/>
  <c r="E4" i="7"/>
  <c r="D4" i="7"/>
  <c r="C4" i="7"/>
  <c r="B4" i="7"/>
  <c r="G4" i="8"/>
  <c r="F4" i="8"/>
  <c r="E4" i="8"/>
  <c r="D4" i="8"/>
  <c r="C4" i="8"/>
  <c r="B4" i="8"/>
  <c r="G4" i="9"/>
  <c r="F4" i="9"/>
  <c r="E4" i="9"/>
  <c r="D4" i="9"/>
  <c r="C4" i="9"/>
  <c r="B4" i="9"/>
  <c r="G4" i="10"/>
  <c r="F4" i="10"/>
  <c r="E4" i="10"/>
  <c r="D4" i="10"/>
  <c r="C4" i="10"/>
  <c r="B4" i="10"/>
  <c r="G4" i="11"/>
  <c r="F4" i="11"/>
  <c r="E4" i="11"/>
  <c r="D4" i="11"/>
  <c r="C4" i="11"/>
  <c r="B4" i="11"/>
  <c r="G4" i="13"/>
  <c r="F4" i="13"/>
  <c r="E4" i="13"/>
  <c r="D4" i="13"/>
  <c r="C4" i="13"/>
  <c r="B4" i="13"/>
  <c r="G4" i="14"/>
  <c r="F4" i="14"/>
  <c r="E4" i="14"/>
  <c r="D4" i="14"/>
  <c r="C4" i="14"/>
  <c r="B4" i="14"/>
  <c r="G4" i="15"/>
  <c r="F4" i="15"/>
  <c r="E4" i="15"/>
  <c r="D4" i="15"/>
  <c r="C4" i="15"/>
  <c r="B4" i="15"/>
  <c r="G4" i="16"/>
  <c r="F4" i="16"/>
  <c r="E4" i="16"/>
  <c r="D4" i="16"/>
  <c r="C4" i="16"/>
  <c r="B4" i="16"/>
  <c r="G4" i="17"/>
  <c r="F4" i="17"/>
  <c r="E4" i="17"/>
  <c r="D4" i="17"/>
  <c r="C4" i="17"/>
  <c r="B4" i="17"/>
  <c r="G4" i="18"/>
  <c r="F4" i="18"/>
  <c r="E4" i="18"/>
  <c r="D4" i="18"/>
  <c r="C4" i="18"/>
  <c r="B4" i="18"/>
  <c r="G4" i="58"/>
  <c r="F4" i="58"/>
  <c r="E4" i="58"/>
  <c r="D4" i="58"/>
  <c r="C4" i="58"/>
  <c r="B4" i="58"/>
  <c r="G4" i="19"/>
  <c r="F4" i="19"/>
  <c r="E4" i="19"/>
  <c r="D4" i="19"/>
  <c r="C4" i="19"/>
  <c r="B4" i="19"/>
  <c r="E4" i="29"/>
  <c r="D4" i="29"/>
  <c r="C4" i="29"/>
  <c r="B4" i="29"/>
  <c r="G4" i="31"/>
  <c r="F4" i="31"/>
  <c r="E4" i="31"/>
  <c r="D4" i="31"/>
  <c r="C4" i="31"/>
  <c r="B4" i="31"/>
  <c r="G4" i="32"/>
  <c r="F4" i="32"/>
  <c r="E4" i="32"/>
  <c r="D4" i="32"/>
  <c r="C4" i="32"/>
  <c r="B4" i="32"/>
  <c r="G4" i="34"/>
  <c r="F4" i="34"/>
  <c r="E4" i="34"/>
  <c r="D4" i="34"/>
  <c r="C4" i="34"/>
  <c r="B4" i="34"/>
  <c r="G4" i="33"/>
  <c r="F4" i="33"/>
  <c r="E4" i="33"/>
  <c r="D4" i="33"/>
  <c r="C4" i="33"/>
  <c r="B4" i="33"/>
  <c r="G4" i="36"/>
  <c r="F4" i="36"/>
  <c r="E4" i="36"/>
  <c r="D4" i="36"/>
  <c r="C4" i="36"/>
  <c r="B4" i="36"/>
  <c r="G4" i="37"/>
  <c r="F4" i="37"/>
  <c r="E4" i="37"/>
  <c r="D4" i="37"/>
  <c r="C4" i="37"/>
  <c r="B4" i="37"/>
  <c r="G4" i="38"/>
  <c r="F4" i="38"/>
  <c r="E4" i="38"/>
  <c r="D4" i="38"/>
  <c r="C4" i="38"/>
  <c r="B4" i="38"/>
  <c r="G4" i="39"/>
  <c r="F4" i="39"/>
  <c r="E4" i="39"/>
  <c r="D4" i="39"/>
  <c r="C4" i="39"/>
  <c r="B4" i="39"/>
  <c r="G4" i="40"/>
  <c r="F4" i="40"/>
  <c r="E4" i="40"/>
  <c r="D4" i="40"/>
  <c r="C4" i="40"/>
  <c r="B4" i="40"/>
  <c r="G4" i="41"/>
  <c r="F4" i="41"/>
  <c r="E4" i="41"/>
  <c r="D4" i="41"/>
  <c r="C4" i="41"/>
  <c r="B4" i="41"/>
  <c r="G4" i="42"/>
  <c r="F4" i="42"/>
  <c r="E4" i="42"/>
  <c r="D4" i="42"/>
  <c r="C4" i="42"/>
  <c r="B4" i="42"/>
  <c r="G4" i="43"/>
  <c r="F4" i="43"/>
  <c r="E4" i="43"/>
  <c r="D4" i="43"/>
  <c r="C4" i="43"/>
  <c r="B4" i="43"/>
  <c r="G4" i="44"/>
  <c r="F4" i="44"/>
  <c r="E4" i="44"/>
  <c r="D4" i="44"/>
  <c r="C4" i="44"/>
  <c r="B4" i="44"/>
  <c r="G4" i="47"/>
  <c r="F4" i="47"/>
  <c r="E4" i="47"/>
  <c r="D4" i="47"/>
  <c r="C4" i="47"/>
  <c r="B4" i="47"/>
  <c r="B4" i="50"/>
  <c r="G4" i="49"/>
  <c r="F4" i="49"/>
  <c r="E4" i="49"/>
  <c r="D4" i="49"/>
  <c r="C4" i="49"/>
  <c r="B4" i="49"/>
  <c r="N4" i="4"/>
  <c r="N4" i="3"/>
  <c r="N4" i="5"/>
  <c r="N4" i="6"/>
  <c r="N4" i="7"/>
  <c r="N4" i="8"/>
  <c r="N4" i="9"/>
  <c r="N4" i="10"/>
  <c r="N4" i="11"/>
  <c r="N4" i="13"/>
  <c r="N4" i="14"/>
  <c r="N4" i="15"/>
  <c r="N4" i="16"/>
  <c r="N4" i="17"/>
  <c r="N4" i="18"/>
  <c r="N4" i="58"/>
  <c r="N4" i="19"/>
  <c r="N4" i="29"/>
  <c r="N4" i="31"/>
  <c r="N4" i="32"/>
  <c r="N4" i="33"/>
  <c r="N4" i="34"/>
  <c r="N4" i="36"/>
  <c r="N4" i="37"/>
  <c r="N4" i="38"/>
  <c r="N4" i="39"/>
  <c r="N4" i="40"/>
  <c r="N4" i="41"/>
  <c r="N4" i="42"/>
  <c r="N4" i="43"/>
  <c r="N4" i="44"/>
  <c r="N4" i="47"/>
  <c r="N4" i="49"/>
  <c r="H4" i="44" l="1"/>
  <c r="H4" i="42"/>
  <c r="H4" i="40"/>
  <c r="H4" i="38"/>
  <c r="H4" i="36"/>
  <c r="H4" i="31"/>
  <c r="H4" i="47"/>
  <c r="H4" i="39"/>
  <c r="H4" i="37"/>
  <c r="H4" i="33"/>
  <c r="H4" i="49"/>
  <c r="G15" i="4"/>
  <c r="K15" i="5"/>
  <c r="J15" i="5"/>
  <c r="G15" i="10"/>
  <c r="I20" i="76"/>
  <c r="I55" i="76"/>
  <c r="B15" i="13"/>
  <c r="D15" i="10"/>
  <c r="B15" i="6"/>
  <c r="D15" i="6"/>
  <c r="H15" i="6"/>
  <c r="I15" i="6"/>
  <c r="G15" i="5"/>
  <c r="J12" i="51"/>
  <c r="J16" i="51" s="1"/>
  <c r="J17" i="51" s="1"/>
  <c r="J18" i="51" s="1"/>
  <c r="C15" i="3"/>
  <c r="F15" i="3"/>
  <c r="K15" i="3"/>
  <c r="K10" i="51"/>
  <c r="K11" i="51" s="1"/>
  <c r="J17" i="45"/>
  <c r="J18" i="45" s="1"/>
  <c r="K5" i="45"/>
  <c r="K10" i="45" s="1"/>
  <c r="K11" i="45" s="1"/>
  <c r="K12" i="45" s="1"/>
  <c r="K16" i="45" s="1"/>
  <c r="F15" i="13"/>
  <c r="J15" i="13"/>
  <c r="D15" i="13"/>
  <c r="H15" i="13"/>
  <c r="E15" i="13"/>
  <c r="I15" i="13"/>
  <c r="C15" i="13"/>
  <c r="G15" i="13"/>
  <c r="K15" i="4"/>
  <c r="C15" i="4"/>
  <c r="E15" i="4"/>
  <c r="I15" i="4"/>
  <c r="B15" i="4"/>
  <c r="F15" i="4"/>
  <c r="J15" i="4"/>
  <c r="D15" i="4"/>
  <c r="H15" i="10"/>
  <c r="C15" i="10"/>
  <c r="K15" i="10"/>
  <c r="E15" i="10"/>
  <c r="I15" i="10"/>
  <c r="B15" i="10"/>
  <c r="F15" i="10"/>
  <c r="B15" i="5"/>
  <c r="D15" i="5"/>
  <c r="H15" i="5"/>
  <c r="E15" i="5"/>
  <c r="I15" i="5"/>
  <c r="F15" i="5"/>
  <c r="E15" i="7"/>
  <c r="I15" i="7"/>
  <c r="D15" i="7"/>
  <c r="B15" i="7"/>
  <c r="F15" i="7"/>
  <c r="J15" i="7"/>
  <c r="H15" i="7"/>
  <c r="C15" i="7"/>
  <c r="G15" i="7"/>
  <c r="G15" i="3"/>
  <c r="B15" i="3"/>
  <c r="J15" i="3"/>
  <c r="D15" i="3"/>
  <c r="H15" i="3"/>
  <c r="E15" i="3"/>
  <c r="E15" i="6"/>
  <c r="J15" i="6"/>
  <c r="F15" i="6"/>
  <c r="C15" i="6"/>
  <c r="G15" i="6"/>
  <c r="E15" i="9"/>
  <c r="I15" i="9"/>
  <c r="B15" i="9"/>
  <c r="F15" i="9"/>
  <c r="J15" i="9"/>
  <c r="C15" i="9"/>
  <c r="G15" i="9"/>
  <c r="K15" i="9"/>
  <c r="D15" i="9"/>
  <c r="B15" i="19"/>
  <c r="F15" i="19"/>
  <c r="J15" i="19"/>
  <c r="D15" i="19"/>
  <c r="H15" i="19"/>
  <c r="C15" i="19"/>
  <c r="G15" i="19"/>
  <c r="K15" i="19"/>
  <c r="E15" i="19"/>
  <c r="B5" i="34"/>
  <c r="J55" i="76" l="1"/>
  <c r="J20" i="76"/>
  <c r="K12" i="51"/>
  <c r="K16" i="51" s="1"/>
  <c r="K17" i="51" s="1"/>
  <c r="K18" i="51" s="1"/>
  <c r="K17" i="45"/>
  <c r="K18" i="45" s="1"/>
  <c r="K55" i="76" l="1"/>
  <c r="K20" i="76"/>
  <c r="C15" i="50"/>
  <c r="D15" i="50"/>
  <c r="E15" i="50"/>
  <c r="F15" i="50"/>
  <c r="G15" i="50"/>
  <c r="H15" i="50"/>
  <c r="I15" i="50"/>
  <c r="J15" i="50"/>
  <c r="K15" i="50"/>
  <c r="B15" i="50" l="1"/>
  <c r="G4" i="50" l="1"/>
  <c r="F4" i="50"/>
  <c r="E4" i="50"/>
  <c r="D4" i="50"/>
  <c r="C4" i="50"/>
  <c r="N4" i="50"/>
  <c r="H4" i="6"/>
  <c r="I4" i="6" s="1"/>
  <c r="J4" i="6" s="1"/>
  <c r="K4" i="6" s="1"/>
  <c r="H4" i="7"/>
  <c r="I4" i="7" s="1"/>
  <c r="J4" i="7" s="1"/>
  <c r="K4" i="7" s="1"/>
  <c r="H4" i="8"/>
  <c r="I4" i="8" s="1"/>
  <c r="J4" i="8" s="1"/>
  <c r="K4" i="8" s="1"/>
  <c r="B3" i="9"/>
  <c r="B5" i="9" s="1"/>
  <c r="H4" i="9"/>
  <c r="I4" i="9" s="1"/>
  <c r="J4" i="9" s="1"/>
  <c r="K4" i="9" s="1"/>
  <c r="H4" i="10"/>
  <c r="I4" i="10" s="1"/>
  <c r="J4" i="10" s="1"/>
  <c r="K4" i="10" s="1"/>
  <c r="B3" i="10"/>
  <c r="B5" i="10" s="1"/>
  <c r="H4" i="11"/>
  <c r="I4" i="11" s="1"/>
  <c r="J4" i="11" s="1"/>
  <c r="K4" i="11" s="1"/>
  <c r="H4" i="13"/>
  <c r="I4" i="13" s="1"/>
  <c r="J4" i="13" s="1"/>
  <c r="K4" i="13" s="1"/>
  <c r="H4" i="14"/>
  <c r="I4" i="14" s="1"/>
  <c r="J4" i="14" s="1"/>
  <c r="K4" i="14" s="1"/>
  <c r="H4" i="15"/>
  <c r="I4" i="15" s="1"/>
  <c r="J4" i="15" s="1"/>
  <c r="K4" i="15" s="1"/>
  <c r="H4" i="16"/>
  <c r="I4" i="16" s="1"/>
  <c r="J4" i="16" s="1"/>
  <c r="K4" i="16" s="1"/>
  <c r="H4" i="17"/>
  <c r="I4" i="17" s="1"/>
  <c r="J4" i="17" s="1"/>
  <c r="K4" i="17" s="1"/>
  <c r="N9" i="18"/>
  <c r="H4" i="18" s="1"/>
  <c r="I4" i="18" s="1"/>
  <c r="J4" i="18" s="1"/>
  <c r="K4" i="18" s="1"/>
  <c r="H4" i="19"/>
  <c r="I4" i="19" s="1"/>
  <c r="J4" i="19" s="1"/>
  <c r="K4" i="19" s="1"/>
  <c r="H4" i="29"/>
  <c r="H4" i="34"/>
  <c r="I4" i="34" s="1"/>
  <c r="J4" i="34" s="1"/>
  <c r="K4" i="34" s="1"/>
  <c r="H4" i="32"/>
  <c r="I4" i="29" l="1"/>
  <c r="J4" i="29" s="1"/>
  <c r="K4" i="29" s="1"/>
  <c r="B5" i="32"/>
  <c r="I4" i="32"/>
  <c r="J4" i="32" s="1"/>
  <c r="K4" i="32" s="1"/>
  <c r="B5" i="33"/>
  <c r="I4" i="33"/>
  <c r="J4" i="33" s="1"/>
  <c r="K4" i="33" s="1"/>
  <c r="B5" i="36"/>
  <c r="I4" i="36"/>
  <c r="J4" i="36" s="1"/>
  <c r="K4" i="36" s="1"/>
  <c r="C3" i="58" l="1"/>
  <c r="C5" i="58" s="1"/>
  <c r="C10" i="58" s="1"/>
  <c r="D3" i="58"/>
  <c r="D5" i="58" s="1"/>
  <c r="D10" i="58" s="1"/>
  <c r="E3" i="58"/>
  <c r="E5" i="58" s="1"/>
  <c r="E10" i="58" s="1"/>
  <c r="F3" i="58"/>
  <c r="F5" i="58" s="1"/>
  <c r="F10" i="58" s="1"/>
  <c r="G3" i="58"/>
  <c r="G5" i="58" s="1"/>
  <c r="G10" i="58" s="1"/>
  <c r="B3" i="58"/>
  <c r="B5" i="58" s="1"/>
  <c r="B10" i="58" s="1"/>
  <c r="N5" i="58"/>
  <c r="B11" i="58" l="1"/>
  <c r="B12" i="58" s="1"/>
  <c r="B16" i="58" s="1"/>
  <c r="Q9" i="28"/>
  <c r="Q10" i="28"/>
  <c r="Q11" i="28"/>
  <c r="Q12" i="28"/>
  <c r="Q13" i="28"/>
  <c r="Q14" i="28"/>
  <c r="Q15" i="28"/>
  <c r="Q16" i="28"/>
  <c r="Q17" i="28"/>
  <c r="Q18" i="28"/>
  <c r="Q19" i="28"/>
  <c r="Q20" i="28"/>
  <c r="Q21" i="28"/>
  <c r="Q22" i="28"/>
  <c r="Q23" i="28"/>
  <c r="Q24" i="28"/>
  <c r="Q25" i="28"/>
  <c r="Q26" i="28"/>
  <c r="Q27" i="28"/>
  <c r="Q28" i="28"/>
  <c r="Q29" i="28"/>
  <c r="Q30" i="28"/>
  <c r="Q31" i="28"/>
  <c r="Q32" i="28"/>
  <c r="Q33" i="28"/>
  <c r="Q34" i="28"/>
  <c r="Q35" i="28"/>
  <c r="Q36" i="28"/>
  <c r="Q37" i="28"/>
  <c r="Q38" i="28"/>
  <c r="Q39" i="28"/>
  <c r="Q40" i="28"/>
  <c r="Q41" i="28"/>
  <c r="Q42" i="28"/>
  <c r="Q43" i="28"/>
  <c r="Q44" i="28"/>
  <c r="Q45" i="28"/>
  <c r="Q46" i="28"/>
  <c r="Q47" i="28"/>
  <c r="Q48" i="28"/>
  <c r="Q49" i="28"/>
  <c r="Q50" i="28"/>
  <c r="Q51" i="28"/>
  <c r="Q52" i="28"/>
  <c r="Q53" i="28"/>
  <c r="Q54" i="28"/>
  <c r="Q55" i="28"/>
  <c r="Q56" i="28"/>
  <c r="Q57" i="28"/>
  <c r="Q58" i="28"/>
  <c r="Q59" i="28"/>
  <c r="Q60" i="28"/>
  <c r="Q61" i="28"/>
  <c r="Q62" i="28"/>
  <c r="Q63" i="28"/>
  <c r="Q64" i="28"/>
  <c r="Q65" i="28"/>
  <c r="Q66" i="28"/>
  <c r="Q67" i="28"/>
  <c r="Q68" i="28"/>
  <c r="Q69" i="28"/>
  <c r="Q70" i="28"/>
  <c r="Q71" i="28"/>
  <c r="Q72" i="28"/>
  <c r="Q73" i="28"/>
  <c r="Q74" i="28"/>
  <c r="Q75" i="28"/>
  <c r="Q76" i="28"/>
  <c r="Q77" i="28"/>
  <c r="Q78" i="28"/>
  <c r="Q79" i="28"/>
  <c r="Q8" i="28"/>
  <c r="Q80" i="28"/>
  <c r="C8" i="58" l="1"/>
  <c r="D8" i="58" s="1"/>
  <c r="E8" i="58" s="1"/>
  <c r="F8" i="58" s="1"/>
  <c r="G8" i="58" s="1"/>
  <c r="H8" i="58" s="1"/>
  <c r="I8" i="58" s="1"/>
  <c r="J8" i="58" s="1"/>
  <c r="K8" i="58" s="1"/>
  <c r="B17" i="58"/>
  <c r="B18" i="58" s="1"/>
  <c r="H4" i="50"/>
  <c r="N5" i="49"/>
  <c r="N5" i="47"/>
  <c r="N5" i="44"/>
  <c r="H4" i="43"/>
  <c r="H4" i="41"/>
  <c r="N5" i="43"/>
  <c r="N5" i="42"/>
  <c r="F11" i="58" l="1"/>
  <c r="F12" i="58" s="1"/>
  <c r="F16" i="58" s="1"/>
  <c r="F17" i="58" s="1"/>
  <c r="F18" i="58" s="1"/>
  <c r="E11" i="58"/>
  <c r="E12" i="58" s="1"/>
  <c r="E16" i="58" s="1"/>
  <c r="E17" i="58" s="1"/>
  <c r="E18" i="58" s="1"/>
  <c r="G11" i="58"/>
  <c r="G12" i="58" s="1"/>
  <c r="G16" i="58" s="1"/>
  <c r="G17" i="58" s="1"/>
  <c r="G18" i="58" s="1"/>
  <c r="C11" i="58"/>
  <c r="C12" i="58" s="1"/>
  <c r="C16" i="58" s="1"/>
  <c r="C17" i="58" s="1"/>
  <c r="C18" i="58" s="1"/>
  <c r="C56" i="76" s="1"/>
  <c r="D11" i="58"/>
  <c r="D12" i="58" s="1"/>
  <c r="D16" i="58" s="1"/>
  <c r="D17" i="58" s="1"/>
  <c r="D18" i="58" s="1"/>
  <c r="B56" i="76"/>
  <c r="I4" i="50"/>
  <c r="J4" i="50" s="1"/>
  <c r="K4" i="50" s="1"/>
  <c r="I4" i="42"/>
  <c r="J4" i="42" s="1"/>
  <c r="K4" i="42" s="1"/>
  <c r="B5" i="43"/>
  <c r="B10" i="43" s="1"/>
  <c r="I4" i="43"/>
  <c r="J4" i="43" s="1"/>
  <c r="K4" i="43" s="1"/>
  <c r="I4" i="44"/>
  <c r="J4" i="44" s="1"/>
  <c r="K4" i="44" s="1"/>
  <c r="B5" i="47"/>
  <c r="B10" i="47" s="1"/>
  <c r="I4" i="47"/>
  <c r="J4" i="47" s="1"/>
  <c r="K4" i="47" s="1"/>
  <c r="I4" i="49"/>
  <c r="J4" i="49" s="1"/>
  <c r="K4" i="49" s="1"/>
  <c r="I4" i="41"/>
  <c r="J4" i="41" s="1"/>
  <c r="K4" i="41" s="1"/>
  <c r="C8" i="47"/>
  <c r="D8" i="47" s="1"/>
  <c r="E8" i="47" s="1"/>
  <c r="F8" i="47" s="1"/>
  <c r="G8" i="47" s="1"/>
  <c r="H8" i="47" s="1"/>
  <c r="I8" i="47" s="1"/>
  <c r="J8" i="47" s="1"/>
  <c r="K8" i="47" s="1"/>
  <c r="C8" i="49"/>
  <c r="D8" i="49" s="1"/>
  <c r="E8" i="49" s="1"/>
  <c r="F8" i="49" s="1"/>
  <c r="G8" i="49" s="1"/>
  <c r="H8" i="49" s="1"/>
  <c r="I8" i="49" s="1"/>
  <c r="J8" i="49" s="1"/>
  <c r="K8" i="49" s="1"/>
  <c r="E56" i="76" l="1"/>
  <c r="F56" i="76"/>
  <c r="D56" i="76"/>
  <c r="G56" i="76"/>
  <c r="C3" i="47"/>
  <c r="B11" i="47"/>
  <c r="B12" i="47" s="1"/>
  <c r="B16" i="47" s="1"/>
  <c r="C3" i="42"/>
  <c r="N5" i="41"/>
  <c r="B17" i="47" l="1"/>
  <c r="B18" i="47" s="1"/>
  <c r="C5" i="47"/>
  <c r="C10" i="47" s="1"/>
  <c r="C11" i="47" s="1"/>
  <c r="C12" i="47" s="1"/>
  <c r="C16" i="47" s="1"/>
  <c r="C8" i="41"/>
  <c r="D8" i="41" s="1"/>
  <c r="E8" i="41" s="1"/>
  <c r="F8" i="41" s="1"/>
  <c r="G8" i="41" s="1"/>
  <c r="H8" i="41" s="1"/>
  <c r="I8" i="41" s="1"/>
  <c r="J8" i="41" s="1"/>
  <c r="K8" i="41" s="1"/>
  <c r="B5" i="41"/>
  <c r="B10" i="41" s="1"/>
  <c r="D3" i="47"/>
  <c r="D3" i="42"/>
  <c r="B51" i="76" l="1"/>
  <c r="C17" i="47"/>
  <c r="C18" i="47" s="1"/>
  <c r="D5" i="47"/>
  <c r="D10" i="47" s="1"/>
  <c r="D11" i="47" s="1"/>
  <c r="D12" i="47" s="1"/>
  <c r="D16" i="47" s="1"/>
  <c r="E3" i="47"/>
  <c r="E3" i="42"/>
  <c r="C3" i="41"/>
  <c r="C5" i="41" s="1"/>
  <c r="C10" i="41" s="1"/>
  <c r="B11" i="41"/>
  <c r="B12" i="41" s="1"/>
  <c r="B16" i="41" s="1"/>
  <c r="C51" i="76" l="1"/>
  <c r="B17" i="41"/>
  <c r="B18" i="41" s="1"/>
  <c r="D17" i="47"/>
  <c r="D18" i="47" s="1"/>
  <c r="E5" i="47"/>
  <c r="E10" i="47" s="1"/>
  <c r="E11" i="47" s="1"/>
  <c r="E12" i="47" s="1"/>
  <c r="E16" i="47" s="1"/>
  <c r="F3" i="47"/>
  <c r="F3" i="42"/>
  <c r="D3" i="41"/>
  <c r="D5" i="41" s="1"/>
  <c r="D10" i="41" s="1"/>
  <c r="C11" i="41"/>
  <c r="C12" i="41" s="1"/>
  <c r="C16" i="41" s="1"/>
  <c r="D51" i="76" l="1"/>
  <c r="B52" i="76"/>
  <c r="B5" i="42"/>
  <c r="B10" i="42" s="1"/>
  <c r="B11" i="42" s="1"/>
  <c r="B12" i="42" s="1"/>
  <c r="B16" i="42" s="1"/>
  <c r="B17" i="42" s="1"/>
  <c r="B18" i="42" s="1"/>
  <c r="F5" i="42"/>
  <c r="F10" i="42" s="1"/>
  <c r="F11" i="42" s="1"/>
  <c r="F12" i="42" s="1"/>
  <c r="F16" i="42" s="1"/>
  <c r="C5" i="42"/>
  <c r="C10" i="42" s="1"/>
  <c r="C11" i="42" s="1"/>
  <c r="C12" i="42" s="1"/>
  <c r="C16" i="42" s="1"/>
  <c r="C17" i="42" s="1"/>
  <c r="C18" i="42" s="1"/>
  <c r="D5" i="42"/>
  <c r="D10" i="42" s="1"/>
  <c r="D11" i="42" s="1"/>
  <c r="D12" i="42" s="1"/>
  <c r="D16" i="42" s="1"/>
  <c r="D17" i="42" s="1"/>
  <c r="D18" i="42" s="1"/>
  <c r="E5" i="42"/>
  <c r="E10" i="42" s="1"/>
  <c r="E11" i="42" s="1"/>
  <c r="E12" i="42" s="1"/>
  <c r="E16" i="42" s="1"/>
  <c r="E17" i="42" s="1"/>
  <c r="E18" i="42" s="1"/>
  <c r="C17" i="41"/>
  <c r="C18" i="41" s="1"/>
  <c r="E17" i="47"/>
  <c r="E18" i="47" s="1"/>
  <c r="F5" i="47"/>
  <c r="F10" i="47" s="1"/>
  <c r="F11" i="47" s="1"/>
  <c r="F12" i="47" s="1"/>
  <c r="F16" i="47" s="1"/>
  <c r="G3" i="47"/>
  <c r="G3" i="42"/>
  <c r="D11" i="41"/>
  <c r="D12" i="41" s="1"/>
  <c r="D16" i="41" s="1"/>
  <c r="E3" i="41"/>
  <c r="E5" i="41" s="1"/>
  <c r="E10" i="41" s="1"/>
  <c r="N5" i="40"/>
  <c r="N5" i="39"/>
  <c r="N5" i="38"/>
  <c r="I4" i="37"/>
  <c r="J4" i="37" s="1"/>
  <c r="K4" i="37" s="1"/>
  <c r="N5" i="37"/>
  <c r="B10" i="36"/>
  <c r="N5" i="36"/>
  <c r="B10" i="33"/>
  <c r="N5" i="33"/>
  <c r="B10" i="32"/>
  <c r="N5" i="32"/>
  <c r="N5" i="31"/>
  <c r="C3" i="29"/>
  <c r="C5" i="29" s="1"/>
  <c r="D3" i="29"/>
  <c r="D5" i="29" s="1"/>
  <c r="D10" i="29" s="1"/>
  <c r="E3" i="29"/>
  <c r="E5" i="29" s="1"/>
  <c r="E10" i="29" s="1"/>
  <c r="B3" i="29"/>
  <c r="B5" i="29" s="1"/>
  <c r="B10" i="29" s="1"/>
  <c r="N5" i="29"/>
  <c r="C3" i="34"/>
  <c r="C5" i="34" s="1"/>
  <c r="C10" i="34" s="1"/>
  <c r="D3" i="34"/>
  <c r="D5" i="34" s="1"/>
  <c r="D10" i="34" s="1"/>
  <c r="E3" i="34"/>
  <c r="E5" i="34" s="1"/>
  <c r="E10" i="34" s="1"/>
  <c r="F3" i="34"/>
  <c r="F5" i="34" s="1"/>
  <c r="F10" i="34" s="1"/>
  <c r="G3" i="34"/>
  <c r="G5" i="34" s="1"/>
  <c r="G10" i="34" s="1"/>
  <c r="B10" i="34"/>
  <c r="N5" i="34"/>
  <c r="G5" i="42" l="1"/>
  <c r="G10" i="42" s="1"/>
  <c r="G11" i="42" s="1"/>
  <c r="G12" i="42" s="1"/>
  <c r="G16" i="42" s="1"/>
  <c r="E51" i="76"/>
  <c r="E23" i="76"/>
  <c r="C52" i="76"/>
  <c r="D23" i="76"/>
  <c r="C23" i="76"/>
  <c r="B23" i="76"/>
  <c r="I4" i="31"/>
  <c r="J4" i="31" s="1"/>
  <c r="K4" i="31" s="1"/>
  <c r="I4" i="38"/>
  <c r="J4" i="38" s="1"/>
  <c r="K4" i="38" s="1"/>
  <c r="I4" i="39"/>
  <c r="J4" i="39" s="1"/>
  <c r="K4" i="39" s="1"/>
  <c r="I4" i="40"/>
  <c r="J4" i="40" s="1"/>
  <c r="K4" i="40" s="1"/>
  <c r="D17" i="41"/>
  <c r="D18" i="41" s="1"/>
  <c r="F17" i="42"/>
  <c r="F18" i="42" s="1"/>
  <c r="F17" i="47"/>
  <c r="F18" i="47" s="1"/>
  <c r="C8" i="31"/>
  <c r="D8" i="31" s="1"/>
  <c r="E8" i="31" s="1"/>
  <c r="F8" i="31" s="1"/>
  <c r="G8" i="31" s="1"/>
  <c r="H8" i="31" s="1"/>
  <c r="I8" i="31" s="1"/>
  <c r="J8" i="31" s="1"/>
  <c r="K8" i="31" s="1"/>
  <c r="G5" i="47"/>
  <c r="G10" i="47" s="1"/>
  <c r="G11" i="47" s="1"/>
  <c r="G12" i="47" s="1"/>
  <c r="G16" i="47" s="1"/>
  <c r="C8" i="33"/>
  <c r="D8" i="33" s="1"/>
  <c r="E8" i="33" s="1"/>
  <c r="F8" i="33" s="1"/>
  <c r="G8" i="33" s="1"/>
  <c r="H8" i="33" s="1"/>
  <c r="I8" i="33" s="1"/>
  <c r="J8" i="33" s="1"/>
  <c r="K8" i="33" s="1"/>
  <c r="C8" i="36"/>
  <c r="D8" i="36" s="1"/>
  <c r="E8" i="36" s="1"/>
  <c r="F8" i="36" s="1"/>
  <c r="G8" i="36" s="1"/>
  <c r="H8" i="36" s="1"/>
  <c r="I8" i="36" s="1"/>
  <c r="J8" i="36" s="1"/>
  <c r="K8" i="36" s="1"/>
  <c r="C8" i="37"/>
  <c r="D8" i="37" s="1"/>
  <c r="E8" i="37" s="1"/>
  <c r="F8" i="37" s="1"/>
  <c r="G8" i="37" s="1"/>
  <c r="H8" i="37" s="1"/>
  <c r="I8" i="37" s="1"/>
  <c r="J8" i="37" s="1"/>
  <c r="K8" i="37" s="1"/>
  <c r="C10" i="29"/>
  <c r="H3" i="47"/>
  <c r="H3" i="42"/>
  <c r="E11" i="41"/>
  <c r="E12" i="41" s="1"/>
  <c r="E16" i="41" s="1"/>
  <c r="F3" i="41"/>
  <c r="F5" i="41" s="1"/>
  <c r="F10" i="41" s="1"/>
  <c r="D11" i="34"/>
  <c r="D12" i="34" s="1"/>
  <c r="D16" i="34" s="1"/>
  <c r="B11" i="34"/>
  <c r="B12" i="34" s="1"/>
  <c r="B16" i="34" s="1"/>
  <c r="E11" i="34"/>
  <c r="E12" i="34" s="1"/>
  <c r="E16" i="34" s="1"/>
  <c r="C11" i="34"/>
  <c r="C12" i="34" s="1"/>
  <c r="C16" i="34" s="1"/>
  <c r="H5" i="42" l="1"/>
  <c r="H10" i="42" s="1"/>
  <c r="H11" i="42" s="1"/>
  <c r="H12" i="42" s="1"/>
  <c r="H16" i="42" s="1"/>
  <c r="F51" i="76"/>
  <c r="F23" i="76"/>
  <c r="D52" i="76"/>
  <c r="C11" i="29"/>
  <c r="C12" i="29" s="1"/>
  <c r="C16" i="29" s="1"/>
  <c r="C17" i="29" s="1"/>
  <c r="C18" i="29" s="1"/>
  <c r="B11" i="29"/>
  <c r="B12" i="29" s="1"/>
  <c r="C17" i="34"/>
  <c r="C18" i="34" s="1"/>
  <c r="E17" i="34"/>
  <c r="E18" i="34" s="1"/>
  <c r="B17" i="34"/>
  <c r="B18" i="34" s="1"/>
  <c r="D17" i="34"/>
  <c r="D18" i="34" s="1"/>
  <c r="E17" i="41"/>
  <c r="E18" i="41" s="1"/>
  <c r="G17" i="42"/>
  <c r="G18" i="42" s="1"/>
  <c r="G17" i="47"/>
  <c r="G18" i="47" s="1"/>
  <c r="H5" i="47"/>
  <c r="H10" i="47" s="1"/>
  <c r="H11" i="47" s="1"/>
  <c r="H12" i="47" s="1"/>
  <c r="H16" i="47" s="1"/>
  <c r="F8" i="29"/>
  <c r="G8" i="29" s="1"/>
  <c r="H8" i="29" s="1"/>
  <c r="I8" i="29" s="1"/>
  <c r="J8" i="29" s="1"/>
  <c r="K8" i="29" s="1"/>
  <c r="I3" i="47"/>
  <c r="I3" i="42"/>
  <c r="G3" i="41"/>
  <c r="G5" i="41" s="1"/>
  <c r="G10" i="41" s="1"/>
  <c r="F11" i="41"/>
  <c r="F12" i="41" s="1"/>
  <c r="F16" i="41" s="1"/>
  <c r="C3" i="36"/>
  <c r="C5" i="36" s="1"/>
  <c r="C10" i="36" s="1"/>
  <c r="B11" i="36"/>
  <c r="B12" i="36" s="1"/>
  <c r="B16" i="36" s="1"/>
  <c r="C3" i="33"/>
  <c r="C5" i="33" s="1"/>
  <c r="C10" i="33" s="1"/>
  <c r="C3" i="32"/>
  <c r="C5" i="32" s="1"/>
  <c r="C10" i="32" s="1"/>
  <c r="B11" i="32"/>
  <c r="B12" i="32" s="1"/>
  <c r="B16" i="32" s="1"/>
  <c r="F11" i="34"/>
  <c r="F12" i="34" s="1"/>
  <c r="F16" i="34" s="1"/>
  <c r="I5" i="42" l="1"/>
  <c r="I10" i="42" s="1"/>
  <c r="I11" i="42" s="1"/>
  <c r="I12" i="42" s="1"/>
  <c r="I16" i="42" s="1"/>
  <c r="G51" i="76"/>
  <c r="G23" i="76"/>
  <c r="E52" i="76"/>
  <c r="D26" i="76"/>
  <c r="B26" i="76"/>
  <c r="E26" i="76"/>
  <c r="C26" i="76"/>
  <c r="C5" i="76"/>
  <c r="B16" i="29"/>
  <c r="B17" i="29" s="1"/>
  <c r="B18" i="29" s="1"/>
  <c r="B17" i="32"/>
  <c r="B18" i="32" s="1"/>
  <c r="F17" i="34"/>
  <c r="F18" i="34" s="1"/>
  <c r="B17" i="36"/>
  <c r="B18" i="36" s="1"/>
  <c r="F17" i="41"/>
  <c r="F18" i="41" s="1"/>
  <c r="H17" i="42"/>
  <c r="H18" i="42" s="1"/>
  <c r="H17" i="47"/>
  <c r="H18" i="47" s="1"/>
  <c r="I5" i="47"/>
  <c r="I10" i="47" s="1"/>
  <c r="I11" i="47" s="1"/>
  <c r="I12" i="47" s="1"/>
  <c r="I16" i="47" s="1"/>
  <c r="J3" i="47"/>
  <c r="J3" i="42"/>
  <c r="H3" i="41"/>
  <c r="H5" i="41" s="1"/>
  <c r="H10" i="41" s="1"/>
  <c r="G11" i="41"/>
  <c r="G12" i="41" s="1"/>
  <c r="G16" i="41" s="1"/>
  <c r="D3" i="36"/>
  <c r="D5" i="36" s="1"/>
  <c r="D10" i="36" s="1"/>
  <c r="C11" i="36"/>
  <c r="C12" i="36" s="1"/>
  <c r="C16" i="36" s="1"/>
  <c r="D3" i="33"/>
  <c r="D5" i="33" s="1"/>
  <c r="D10" i="33" s="1"/>
  <c r="D3" i="32"/>
  <c r="D5" i="32" s="1"/>
  <c r="D10" i="32" s="1"/>
  <c r="C11" i="32"/>
  <c r="C12" i="32" s="1"/>
  <c r="C16" i="32" s="1"/>
  <c r="G11" i="34"/>
  <c r="G12" i="34" s="1"/>
  <c r="G16" i="34" s="1"/>
  <c r="J5" i="42" l="1"/>
  <c r="J10" i="42" s="1"/>
  <c r="J11" i="42" s="1"/>
  <c r="J12" i="42" s="1"/>
  <c r="J16" i="42" s="1"/>
  <c r="H51" i="76"/>
  <c r="H23" i="76"/>
  <c r="F52" i="76"/>
  <c r="B13" i="76"/>
  <c r="F26" i="76"/>
  <c r="B53" i="76"/>
  <c r="B5" i="76"/>
  <c r="C17" i="32"/>
  <c r="C18" i="32" s="1"/>
  <c r="G17" i="34"/>
  <c r="G18" i="34" s="1"/>
  <c r="C17" i="36"/>
  <c r="C18" i="36" s="1"/>
  <c r="G17" i="41"/>
  <c r="G18" i="41" s="1"/>
  <c r="I17" i="42"/>
  <c r="I18" i="42" s="1"/>
  <c r="I17" i="47"/>
  <c r="I18" i="47" s="1"/>
  <c r="J5" i="47"/>
  <c r="J10" i="47" s="1"/>
  <c r="J11" i="47" s="1"/>
  <c r="J12" i="47" s="1"/>
  <c r="J16" i="47" s="1"/>
  <c r="K3" i="47"/>
  <c r="K5" i="47" s="1"/>
  <c r="K3" i="42"/>
  <c r="K5" i="42" s="1"/>
  <c r="I3" i="41"/>
  <c r="I5" i="41" s="1"/>
  <c r="I10" i="41" s="1"/>
  <c r="H11" i="41"/>
  <c r="H12" i="41" s="1"/>
  <c r="H16" i="41" s="1"/>
  <c r="E3" i="36"/>
  <c r="E5" i="36" s="1"/>
  <c r="E10" i="36" s="1"/>
  <c r="D11" i="36"/>
  <c r="D12" i="36" s="1"/>
  <c r="D16" i="36" s="1"/>
  <c r="E3" i="33"/>
  <c r="E5" i="33" s="1"/>
  <c r="E10" i="33" s="1"/>
  <c r="D11" i="32"/>
  <c r="D12" i="32" s="1"/>
  <c r="D16" i="32" s="1"/>
  <c r="E3" i="32"/>
  <c r="E5" i="32" s="1"/>
  <c r="E10" i="32" s="1"/>
  <c r="I51" i="76" l="1"/>
  <c r="I23" i="76"/>
  <c r="G52" i="76"/>
  <c r="C13" i="76"/>
  <c r="G26" i="76"/>
  <c r="C53" i="76"/>
  <c r="D17" i="32"/>
  <c r="D18" i="32" s="1"/>
  <c r="D17" i="36"/>
  <c r="D18" i="36" s="1"/>
  <c r="H17" i="41"/>
  <c r="H18" i="41" s="1"/>
  <c r="J17" i="42"/>
  <c r="J18" i="42" s="1"/>
  <c r="K10" i="42"/>
  <c r="K11" i="42" s="1"/>
  <c r="K12" i="42" s="1"/>
  <c r="K16" i="42" s="1"/>
  <c r="J17" i="47"/>
  <c r="J18" i="47" s="1"/>
  <c r="K10" i="47"/>
  <c r="K11" i="47" s="1"/>
  <c r="K12" i="47" s="1"/>
  <c r="K16" i="47" s="1"/>
  <c r="I11" i="41"/>
  <c r="I12" i="41" s="1"/>
  <c r="I16" i="41" s="1"/>
  <c r="J3" i="41"/>
  <c r="J5" i="41" s="1"/>
  <c r="J10" i="41" s="1"/>
  <c r="E11" i="36"/>
  <c r="E12" i="36" s="1"/>
  <c r="E16" i="36" s="1"/>
  <c r="F3" i="36"/>
  <c r="F5" i="36" s="1"/>
  <c r="F10" i="36" s="1"/>
  <c r="F3" i="33"/>
  <c r="F5" i="33" s="1"/>
  <c r="F10" i="33" s="1"/>
  <c r="E11" i="32"/>
  <c r="E12" i="32" s="1"/>
  <c r="E16" i="32" s="1"/>
  <c r="F3" i="32"/>
  <c r="F5" i="32" s="1"/>
  <c r="F10" i="32" s="1"/>
  <c r="J51" i="76" l="1"/>
  <c r="J23" i="76"/>
  <c r="H52" i="76"/>
  <c r="D13" i="76"/>
  <c r="D53" i="76"/>
  <c r="E17" i="32"/>
  <c r="E18" i="32" s="1"/>
  <c r="E17" i="36"/>
  <c r="E18" i="36" s="1"/>
  <c r="I17" i="41"/>
  <c r="I18" i="41" s="1"/>
  <c r="K17" i="42"/>
  <c r="K18" i="42" s="1"/>
  <c r="K17" i="47"/>
  <c r="K18" i="47" s="1"/>
  <c r="K3" i="41"/>
  <c r="J11" i="41"/>
  <c r="J12" i="41" s="1"/>
  <c r="J16" i="41" s="1"/>
  <c r="G3" i="36"/>
  <c r="G5" i="36" s="1"/>
  <c r="G10" i="36" s="1"/>
  <c r="F11" i="36"/>
  <c r="F12" i="36" s="1"/>
  <c r="F16" i="36" s="1"/>
  <c r="G3" i="33"/>
  <c r="G5" i="33" s="1"/>
  <c r="G10" i="33" s="1"/>
  <c r="G3" i="32"/>
  <c r="G5" i="32" s="1"/>
  <c r="G10" i="32" s="1"/>
  <c r="F11" i="32"/>
  <c r="F12" i="32" s="1"/>
  <c r="F16" i="32" s="1"/>
  <c r="K51" i="76" l="1"/>
  <c r="K23" i="76"/>
  <c r="I52" i="76"/>
  <c r="E13" i="76"/>
  <c r="E53" i="76"/>
  <c r="F17" i="32"/>
  <c r="F18" i="32" s="1"/>
  <c r="F17" i="36"/>
  <c r="F18" i="36" s="1"/>
  <c r="J17" i="41"/>
  <c r="J18" i="41" s="1"/>
  <c r="K5" i="41"/>
  <c r="K10" i="41" s="1"/>
  <c r="K11" i="41" s="1"/>
  <c r="K12" i="41" s="1"/>
  <c r="K16" i="41" s="1"/>
  <c r="G11" i="36"/>
  <c r="G12" i="36" s="1"/>
  <c r="G16" i="36" s="1"/>
  <c r="H3" i="36"/>
  <c r="H5" i="36" s="1"/>
  <c r="H10" i="36" s="1"/>
  <c r="H3" i="33"/>
  <c r="H5" i="33" s="1"/>
  <c r="H10" i="33" s="1"/>
  <c r="H3" i="32"/>
  <c r="H5" i="32" s="1"/>
  <c r="H10" i="32" s="1"/>
  <c r="G11" i="32"/>
  <c r="G12" i="32" s="1"/>
  <c r="G16" i="32" s="1"/>
  <c r="J52" i="76" l="1"/>
  <c r="F13" i="76"/>
  <c r="F53" i="76"/>
  <c r="G17" i="32"/>
  <c r="G18" i="32" s="1"/>
  <c r="G17" i="36"/>
  <c r="G18" i="36" s="1"/>
  <c r="K17" i="41"/>
  <c r="K18" i="41" s="1"/>
  <c r="I3" i="36"/>
  <c r="I5" i="36" s="1"/>
  <c r="I10" i="36" s="1"/>
  <c r="H11" i="36"/>
  <c r="H12" i="36" s="1"/>
  <c r="H16" i="36" s="1"/>
  <c r="I3" i="33"/>
  <c r="I5" i="33" s="1"/>
  <c r="I10" i="33" s="1"/>
  <c r="H11" i="32"/>
  <c r="H12" i="32" s="1"/>
  <c r="H16" i="32" s="1"/>
  <c r="I3" i="32"/>
  <c r="I5" i="32" s="1"/>
  <c r="I10" i="32" s="1"/>
  <c r="K52" i="76" l="1"/>
  <c r="G13" i="76"/>
  <c r="G53" i="76"/>
  <c r="H17" i="32"/>
  <c r="H18" i="32" s="1"/>
  <c r="H17" i="36"/>
  <c r="H18" i="36" s="1"/>
  <c r="I11" i="36"/>
  <c r="I12" i="36" s="1"/>
  <c r="I16" i="36" s="1"/>
  <c r="J3" i="36"/>
  <c r="J5" i="36" s="1"/>
  <c r="J10" i="36" s="1"/>
  <c r="J3" i="33"/>
  <c r="J5" i="33" s="1"/>
  <c r="J10" i="33" s="1"/>
  <c r="I11" i="32"/>
  <c r="I12" i="32" s="1"/>
  <c r="I16" i="32" s="1"/>
  <c r="J3" i="32"/>
  <c r="J5" i="32" s="1"/>
  <c r="J10" i="32" s="1"/>
  <c r="H13" i="76" l="1"/>
  <c r="H53" i="76"/>
  <c r="I17" i="32"/>
  <c r="I18" i="32" s="1"/>
  <c r="I17" i="36"/>
  <c r="I18" i="36" s="1"/>
  <c r="K3" i="36"/>
  <c r="J11" i="36"/>
  <c r="J12" i="36" s="1"/>
  <c r="J16" i="36" s="1"/>
  <c r="K3" i="33"/>
  <c r="K5" i="33" s="1"/>
  <c r="K10" i="33" s="1"/>
  <c r="K3" i="32"/>
  <c r="J11" i="32"/>
  <c r="J12" i="32" s="1"/>
  <c r="J16" i="32" s="1"/>
  <c r="I13" i="76" l="1"/>
  <c r="I53" i="76"/>
  <c r="J17" i="32"/>
  <c r="J18" i="32" s="1"/>
  <c r="K5" i="32"/>
  <c r="K10" i="32" s="1"/>
  <c r="K11" i="32" s="1"/>
  <c r="K12" i="32" s="1"/>
  <c r="K16" i="32" s="1"/>
  <c r="J17" i="36"/>
  <c r="J18" i="36" s="1"/>
  <c r="K5" i="36"/>
  <c r="K10" i="36" s="1"/>
  <c r="K11" i="36" s="1"/>
  <c r="K12" i="36" s="1"/>
  <c r="K16" i="36" s="1"/>
  <c r="C3" i="19"/>
  <c r="C5" i="19" s="1"/>
  <c r="C10" i="19" s="1"/>
  <c r="D3" i="19"/>
  <c r="D5" i="19" s="1"/>
  <c r="D10" i="19" s="1"/>
  <c r="E3" i="19"/>
  <c r="E5" i="19" s="1"/>
  <c r="F3" i="19"/>
  <c r="F5" i="19" s="1"/>
  <c r="F10" i="19" s="1"/>
  <c r="G3" i="19"/>
  <c r="G5" i="19" s="1"/>
  <c r="G10" i="19" s="1"/>
  <c r="B3" i="19"/>
  <c r="B5" i="19" s="1"/>
  <c r="B10" i="19" s="1"/>
  <c r="N5" i="19"/>
  <c r="C3" i="18"/>
  <c r="C5" i="18" s="1"/>
  <c r="C10" i="18" s="1"/>
  <c r="D3" i="18"/>
  <c r="D5" i="18" s="1"/>
  <c r="D10" i="18" s="1"/>
  <c r="E3" i="18"/>
  <c r="E5" i="18" s="1"/>
  <c r="E10" i="18" s="1"/>
  <c r="F3" i="18"/>
  <c r="F5" i="18" s="1"/>
  <c r="F10" i="18" s="1"/>
  <c r="G3" i="18"/>
  <c r="G5" i="18" s="1"/>
  <c r="B3" i="18"/>
  <c r="B5" i="18" s="1"/>
  <c r="B10" i="18" s="1"/>
  <c r="N5" i="18"/>
  <c r="C3" i="17"/>
  <c r="C5" i="17" s="1"/>
  <c r="C10" i="17" s="1"/>
  <c r="D3" i="17"/>
  <c r="D5" i="17" s="1"/>
  <c r="D10" i="17" s="1"/>
  <c r="E3" i="17"/>
  <c r="E5" i="17" s="1"/>
  <c r="E10" i="17" s="1"/>
  <c r="F3" i="17"/>
  <c r="F5" i="17" s="1"/>
  <c r="F10" i="17" s="1"/>
  <c r="G3" i="17"/>
  <c r="G5" i="17" s="1"/>
  <c r="G10" i="17" s="1"/>
  <c r="B3" i="17"/>
  <c r="B5" i="17" s="1"/>
  <c r="B10" i="17" s="1"/>
  <c r="N5" i="17"/>
  <c r="C3" i="16"/>
  <c r="C5" i="16" s="1"/>
  <c r="C10" i="16" s="1"/>
  <c r="D3" i="16"/>
  <c r="D5" i="16" s="1"/>
  <c r="D10" i="16" s="1"/>
  <c r="E3" i="16"/>
  <c r="E5" i="16" s="1"/>
  <c r="F3" i="16"/>
  <c r="F5" i="16" s="1"/>
  <c r="F10" i="16" s="1"/>
  <c r="G3" i="16"/>
  <c r="G5" i="16" s="1"/>
  <c r="G10" i="16" s="1"/>
  <c r="B3" i="16"/>
  <c r="B5" i="16" s="1"/>
  <c r="B10" i="16" s="1"/>
  <c r="N5" i="16"/>
  <c r="C3" i="15"/>
  <c r="C5" i="15" s="1"/>
  <c r="C10" i="15" s="1"/>
  <c r="D3" i="15"/>
  <c r="D5" i="15" s="1"/>
  <c r="D10" i="15" s="1"/>
  <c r="E3" i="15"/>
  <c r="E5" i="15" s="1"/>
  <c r="E10" i="15" s="1"/>
  <c r="F3" i="15"/>
  <c r="F5" i="15" s="1"/>
  <c r="F10" i="15" s="1"/>
  <c r="G3" i="15"/>
  <c r="G5" i="15" s="1"/>
  <c r="G10" i="15" s="1"/>
  <c r="B3" i="15"/>
  <c r="B5" i="15" s="1"/>
  <c r="B10" i="15" s="1"/>
  <c r="N5" i="15"/>
  <c r="C3" i="14"/>
  <c r="C5" i="14" s="1"/>
  <c r="C10" i="14" s="1"/>
  <c r="D3" i="14"/>
  <c r="D11" i="14" s="1"/>
  <c r="E3" i="14"/>
  <c r="F3" i="14"/>
  <c r="G3" i="14"/>
  <c r="B3" i="14"/>
  <c r="N5" i="14"/>
  <c r="F3" i="8"/>
  <c r="G3" i="8"/>
  <c r="C3" i="8"/>
  <c r="D3" i="8"/>
  <c r="E3" i="8"/>
  <c r="B3" i="8"/>
  <c r="N5" i="8"/>
  <c r="C3" i="13"/>
  <c r="C5" i="13" s="1"/>
  <c r="C10" i="13" s="1"/>
  <c r="D3" i="13"/>
  <c r="D5" i="13" s="1"/>
  <c r="D10" i="13" s="1"/>
  <c r="E3" i="13"/>
  <c r="E5" i="13" s="1"/>
  <c r="E10" i="13" s="1"/>
  <c r="F3" i="13"/>
  <c r="F5" i="13" s="1"/>
  <c r="F10" i="13" s="1"/>
  <c r="G3" i="13"/>
  <c r="G5" i="13" s="1"/>
  <c r="G10" i="13" s="1"/>
  <c r="B3" i="13"/>
  <c r="B5" i="13" s="1"/>
  <c r="B10" i="13" s="1"/>
  <c r="N5" i="13"/>
  <c r="C3" i="11"/>
  <c r="C5" i="11" s="1"/>
  <c r="C10" i="11" s="1"/>
  <c r="D3" i="11"/>
  <c r="D5" i="11" s="1"/>
  <c r="D10" i="11" s="1"/>
  <c r="E3" i="11"/>
  <c r="E5" i="11" s="1"/>
  <c r="F3" i="11"/>
  <c r="F5" i="11" s="1"/>
  <c r="F10" i="11" s="1"/>
  <c r="G3" i="11"/>
  <c r="G5" i="11" s="1"/>
  <c r="G10" i="11" s="1"/>
  <c r="B3" i="11"/>
  <c r="B5" i="11" s="1"/>
  <c r="B10" i="11" s="1"/>
  <c r="N5" i="11"/>
  <c r="B5" i="8" l="1"/>
  <c r="B10" i="8" s="1"/>
  <c r="B11" i="8"/>
  <c r="E5" i="8"/>
  <c r="E10" i="8" s="1"/>
  <c r="E11" i="8"/>
  <c r="D5" i="8"/>
  <c r="D10" i="8" s="1"/>
  <c r="D11" i="8"/>
  <c r="C5" i="8"/>
  <c r="C10" i="8" s="1"/>
  <c r="C11" i="8"/>
  <c r="G5" i="8"/>
  <c r="G10" i="8" s="1"/>
  <c r="G11" i="8"/>
  <c r="F5" i="8"/>
  <c r="F10" i="8" s="1"/>
  <c r="F11" i="8"/>
  <c r="B5" i="14"/>
  <c r="B10" i="14" s="1"/>
  <c r="B11" i="14"/>
  <c r="G5" i="14"/>
  <c r="G10" i="14" s="1"/>
  <c r="G11" i="14"/>
  <c r="F5" i="14"/>
  <c r="F10" i="14" s="1"/>
  <c r="F11" i="14"/>
  <c r="E5" i="14"/>
  <c r="E10" i="14" s="1"/>
  <c r="E11" i="14"/>
  <c r="D5" i="14"/>
  <c r="D10" i="14" s="1"/>
  <c r="J13" i="76"/>
  <c r="J53" i="76"/>
  <c r="K17" i="32"/>
  <c r="K18" i="32" s="1"/>
  <c r="K17" i="36"/>
  <c r="K18" i="36" s="1"/>
  <c r="C11" i="19"/>
  <c r="C12" i="19" s="1"/>
  <c r="C16" i="19" s="1"/>
  <c r="C11" i="11"/>
  <c r="C12" i="11" s="1"/>
  <c r="C16" i="11" s="1"/>
  <c r="B11" i="15"/>
  <c r="B12" i="15" s="1"/>
  <c r="B16" i="15" s="1"/>
  <c r="C11" i="17"/>
  <c r="C12" i="17" s="1"/>
  <c r="C16" i="17" s="1"/>
  <c r="E10" i="11"/>
  <c r="E10" i="16"/>
  <c r="E10" i="19"/>
  <c r="G10" i="18"/>
  <c r="B11" i="18"/>
  <c r="B12" i="18" s="1"/>
  <c r="B16" i="18" s="1"/>
  <c r="F6" i="16"/>
  <c r="F6" i="15"/>
  <c r="F6" i="11"/>
  <c r="G6" i="11" s="1"/>
  <c r="C3" i="10"/>
  <c r="C5" i="10" s="1"/>
  <c r="C10" i="10" s="1"/>
  <c r="D3" i="10"/>
  <c r="D5" i="10" s="1"/>
  <c r="D10" i="10" s="1"/>
  <c r="E3" i="10"/>
  <c r="E5" i="10" s="1"/>
  <c r="F3" i="10"/>
  <c r="F5" i="10" s="1"/>
  <c r="F10" i="10" s="1"/>
  <c r="G3" i="10"/>
  <c r="G5" i="10" s="1"/>
  <c r="G10" i="10" s="1"/>
  <c r="B10" i="10"/>
  <c r="N5" i="10"/>
  <c r="G3" i="9"/>
  <c r="G5" i="9" s="1"/>
  <c r="G10" i="9" s="1"/>
  <c r="C3" i="9"/>
  <c r="C5" i="9" s="1"/>
  <c r="C10" i="9" s="1"/>
  <c r="D3" i="9"/>
  <c r="D5" i="9" s="1"/>
  <c r="D10" i="9" s="1"/>
  <c r="E3" i="9"/>
  <c r="E5" i="9" s="1"/>
  <c r="E10" i="9" s="1"/>
  <c r="F3" i="9"/>
  <c r="F5" i="9" s="1"/>
  <c r="F10" i="9" s="1"/>
  <c r="B10" i="9"/>
  <c r="N5" i="9"/>
  <c r="C3" i="7"/>
  <c r="C5" i="7" s="1"/>
  <c r="C10" i="7" s="1"/>
  <c r="D3" i="7"/>
  <c r="D5" i="7" s="1"/>
  <c r="D10" i="7" s="1"/>
  <c r="E3" i="7"/>
  <c r="E5" i="7" s="1"/>
  <c r="F3" i="7"/>
  <c r="F5" i="7" s="1"/>
  <c r="F10" i="7" s="1"/>
  <c r="G3" i="7"/>
  <c r="G5" i="7" s="1"/>
  <c r="G10" i="7" s="1"/>
  <c r="B3" i="7"/>
  <c r="B5" i="7" s="1"/>
  <c r="B10" i="7" s="1"/>
  <c r="N5" i="7"/>
  <c r="C11" i="14" l="1"/>
  <c r="B11" i="19"/>
  <c r="B12" i="19" s="1"/>
  <c r="B16" i="19" s="1"/>
  <c r="B17" i="19" s="1"/>
  <c r="B18" i="19" s="1"/>
  <c r="E12" i="14"/>
  <c r="E16" i="14" s="1"/>
  <c r="B11" i="17"/>
  <c r="B12" i="17" s="1"/>
  <c r="B16" i="17" s="1"/>
  <c r="B17" i="17" s="1"/>
  <c r="B18" i="17" s="1"/>
  <c r="F8" i="11"/>
  <c r="G8" i="11" s="1"/>
  <c r="H8" i="11" s="1"/>
  <c r="I8" i="11" s="1"/>
  <c r="J8" i="11" s="1"/>
  <c r="K8" i="11" s="1"/>
  <c r="K13" i="76"/>
  <c r="K53" i="76"/>
  <c r="E12" i="8"/>
  <c r="E16" i="8" s="1"/>
  <c r="F8" i="13"/>
  <c r="G8" i="13" s="1"/>
  <c r="H8" i="13" s="1"/>
  <c r="I8" i="13" s="1"/>
  <c r="J8" i="13" s="1"/>
  <c r="K8" i="13" s="1"/>
  <c r="C11" i="15"/>
  <c r="C12" i="15" s="1"/>
  <c r="E11" i="13"/>
  <c r="E12" i="13" s="1"/>
  <c r="C17" i="11"/>
  <c r="C18" i="11" s="1"/>
  <c r="B11" i="13"/>
  <c r="B12" i="13" s="1"/>
  <c r="B16" i="13" s="1"/>
  <c r="D11" i="13"/>
  <c r="D12" i="13" s="1"/>
  <c r="D16" i="13" s="1"/>
  <c r="B17" i="15"/>
  <c r="B18" i="15" s="1"/>
  <c r="C17" i="17"/>
  <c r="C18" i="17" s="1"/>
  <c r="B17" i="18"/>
  <c r="B18" i="18" s="1"/>
  <c r="C17" i="19"/>
  <c r="C18" i="19" s="1"/>
  <c r="B11" i="11"/>
  <c r="B12" i="11" s="1"/>
  <c r="B16" i="11" s="1"/>
  <c r="F8" i="14"/>
  <c r="G8" i="14" s="1"/>
  <c r="H8" i="14" s="1"/>
  <c r="I8" i="14" s="1"/>
  <c r="J8" i="14" s="1"/>
  <c r="K8" i="14" s="1"/>
  <c r="E11" i="15"/>
  <c r="E12" i="15" s="1"/>
  <c r="E16" i="15" s="1"/>
  <c r="F8" i="16"/>
  <c r="G8" i="16" s="1"/>
  <c r="H8" i="16" s="1"/>
  <c r="I8" i="16" s="1"/>
  <c r="J8" i="16" s="1"/>
  <c r="K8" i="16" s="1"/>
  <c r="C11" i="16"/>
  <c r="C12" i="16" s="1"/>
  <c r="C16" i="16" s="1"/>
  <c r="F8" i="15"/>
  <c r="G8" i="15" s="1"/>
  <c r="H8" i="15" s="1"/>
  <c r="I8" i="15" s="1"/>
  <c r="J8" i="15" s="1"/>
  <c r="K8" i="15" s="1"/>
  <c r="B11" i="16"/>
  <c r="B12" i="16" s="1"/>
  <c r="B16" i="16" s="1"/>
  <c r="F8" i="17"/>
  <c r="G8" i="17" s="1"/>
  <c r="H8" i="17" s="1"/>
  <c r="I8" i="17" s="1"/>
  <c r="J8" i="17" s="1"/>
  <c r="K8" i="17" s="1"/>
  <c r="F8" i="19"/>
  <c r="G8" i="19" s="1"/>
  <c r="H8" i="19" s="1"/>
  <c r="I8" i="19" s="1"/>
  <c r="J8" i="19" s="1"/>
  <c r="K8" i="19" s="1"/>
  <c r="D11" i="17"/>
  <c r="D12" i="17" s="1"/>
  <c r="D16" i="17" s="1"/>
  <c r="E11" i="17"/>
  <c r="E12" i="17" s="1"/>
  <c r="E16" i="17" s="1"/>
  <c r="E11" i="19"/>
  <c r="E12" i="19" s="1"/>
  <c r="E16" i="19" s="1"/>
  <c r="E11" i="11"/>
  <c r="E12" i="11" s="1"/>
  <c r="E16" i="11" s="1"/>
  <c r="E11" i="16"/>
  <c r="E12" i="16" s="1"/>
  <c r="E16" i="16" s="1"/>
  <c r="E10" i="7"/>
  <c r="E10" i="10"/>
  <c r="F7" i="19"/>
  <c r="G7" i="19" s="1"/>
  <c r="H7" i="19" s="1"/>
  <c r="I7" i="19" s="1"/>
  <c r="J7" i="19" s="1"/>
  <c r="K7" i="19" s="1"/>
  <c r="D11" i="19"/>
  <c r="D12" i="19" s="1"/>
  <c r="D16" i="19" s="1"/>
  <c r="F8" i="18"/>
  <c r="G8" i="18" s="1"/>
  <c r="H8" i="18" s="1"/>
  <c r="I8" i="18" s="1"/>
  <c r="J8" i="18" s="1"/>
  <c r="K8" i="18" s="1"/>
  <c r="D11" i="18"/>
  <c r="D12" i="18" s="1"/>
  <c r="D16" i="18" s="1"/>
  <c r="E11" i="18"/>
  <c r="E12" i="18" s="1"/>
  <c r="E16" i="18" s="1"/>
  <c r="C11" i="18"/>
  <c r="C12" i="18" s="1"/>
  <c r="C16" i="18" s="1"/>
  <c r="F7" i="16"/>
  <c r="G6" i="16"/>
  <c r="D11" i="16"/>
  <c r="D12" i="16" s="1"/>
  <c r="D16" i="16" s="1"/>
  <c r="F7" i="15"/>
  <c r="G6" i="15"/>
  <c r="D11" i="15"/>
  <c r="D12" i="15" s="1"/>
  <c r="D16" i="15" s="1"/>
  <c r="F7" i="14"/>
  <c r="F8" i="8"/>
  <c r="G8" i="8" s="1"/>
  <c r="H8" i="8" s="1"/>
  <c r="C11" i="13"/>
  <c r="C12" i="13" s="1"/>
  <c r="C16" i="13" s="1"/>
  <c r="F7" i="11"/>
  <c r="G7" i="11" s="1"/>
  <c r="H7" i="11" s="1"/>
  <c r="I7" i="11" s="1"/>
  <c r="J7" i="11" s="1"/>
  <c r="K7" i="11" s="1"/>
  <c r="H6" i="11"/>
  <c r="D11" i="11"/>
  <c r="D12" i="11" s="1"/>
  <c r="D16" i="11" s="1"/>
  <c r="F6" i="6"/>
  <c r="G6" i="6" s="1"/>
  <c r="H6" i="6" s="1"/>
  <c r="F6" i="14" l="1"/>
  <c r="F6" i="8"/>
  <c r="B28" i="76"/>
  <c r="C28" i="76"/>
  <c r="B25" i="76"/>
  <c r="C46" i="76"/>
  <c r="B46" i="76"/>
  <c r="B10" i="76"/>
  <c r="C24" i="76"/>
  <c r="D12" i="8"/>
  <c r="D16" i="8" s="1"/>
  <c r="D17" i="8" s="1"/>
  <c r="D18" i="8" s="1"/>
  <c r="C12" i="8"/>
  <c r="C16" i="8" s="1"/>
  <c r="C17" i="8" s="1"/>
  <c r="C18" i="8" s="1"/>
  <c r="I8" i="8"/>
  <c r="J8" i="8" s="1"/>
  <c r="K8" i="8" s="1"/>
  <c r="C16" i="15"/>
  <c r="C17" i="15" s="1"/>
  <c r="C18" i="15" s="1"/>
  <c r="E16" i="13"/>
  <c r="E17" i="13" s="1"/>
  <c r="E18" i="13" s="1"/>
  <c r="F8" i="7"/>
  <c r="G8" i="7" s="1"/>
  <c r="H8" i="7" s="1"/>
  <c r="I8" i="7" s="1"/>
  <c r="J8" i="7" s="1"/>
  <c r="K8" i="7" s="1"/>
  <c r="E17" i="8"/>
  <c r="E18" i="8" s="1"/>
  <c r="D11" i="9"/>
  <c r="D12" i="9" s="1"/>
  <c r="D16" i="9" s="1"/>
  <c r="E11" i="9"/>
  <c r="E12" i="9" s="1"/>
  <c r="E16" i="9" s="1"/>
  <c r="D17" i="11"/>
  <c r="D18" i="11" s="1"/>
  <c r="E17" i="11"/>
  <c r="E18" i="11" s="1"/>
  <c r="B17" i="11"/>
  <c r="B18" i="11" s="1"/>
  <c r="B17" i="13"/>
  <c r="B18" i="13" s="1"/>
  <c r="C17" i="13"/>
  <c r="C18" i="13" s="1"/>
  <c r="D17" i="13"/>
  <c r="D18" i="13" s="1"/>
  <c r="E17" i="14"/>
  <c r="E18" i="14" s="1"/>
  <c r="E17" i="15"/>
  <c r="E18" i="15" s="1"/>
  <c r="D17" i="15"/>
  <c r="D18" i="15" s="1"/>
  <c r="D17" i="16"/>
  <c r="D18" i="16" s="1"/>
  <c r="E17" i="16"/>
  <c r="E18" i="16" s="1"/>
  <c r="B17" i="16"/>
  <c r="B18" i="16" s="1"/>
  <c r="C17" i="16"/>
  <c r="C18" i="16" s="1"/>
  <c r="E17" i="17"/>
  <c r="E18" i="17" s="1"/>
  <c r="D17" i="17"/>
  <c r="D18" i="17" s="1"/>
  <c r="C17" i="18"/>
  <c r="C18" i="18" s="1"/>
  <c r="E17" i="18"/>
  <c r="E18" i="18" s="1"/>
  <c r="D17" i="18"/>
  <c r="D18" i="18" s="1"/>
  <c r="D17" i="19"/>
  <c r="D18" i="19" s="1"/>
  <c r="E17" i="19"/>
  <c r="E18" i="19" s="1"/>
  <c r="D11" i="7"/>
  <c r="D12" i="7" s="1"/>
  <c r="D16" i="7" s="1"/>
  <c r="B11" i="7"/>
  <c r="B12" i="7" s="1"/>
  <c r="B16" i="7" s="1"/>
  <c r="B11" i="9"/>
  <c r="B12" i="9" s="1"/>
  <c r="B16" i="9" s="1"/>
  <c r="F8" i="9"/>
  <c r="G8" i="9" s="1"/>
  <c r="H8" i="9" s="1"/>
  <c r="I8" i="9" s="1"/>
  <c r="J8" i="9" s="1"/>
  <c r="K8" i="9" s="1"/>
  <c r="E11" i="7"/>
  <c r="E12" i="7" s="1"/>
  <c r="E16" i="7" s="1"/>
  <c r="F11" i="19"/>
  <c r="F12" i="19" s="1"/>
  <c r="F16" i="19" s="1"/>
  <c r="F11" i="17"/>
  <c r="F12" i="17" s="1"/>
  <c r="F16" i="17" s="1"/>
  <c r="G11" i="19"/>
  <c r="G12" i="19" s="1"/>
  <c r="G16" i="19" s="1"/>
  <c r="F11" i="18"/>
  <c r="F12" i="18" s="1"/>
  <c r="F16" i="18" s="1"/>
  <c r="G11" i="18"/>
  <c r="G12" i="18" s="1"/>
  <c r="G16" i="18" s="1"/>
  <c r="G11" i="17"/>
  <c r="G12" i="17" s="1"/>
  <c r="G16" i="17" s="1"/>
  <c r="H6" i="16"/>
  <c r="G7" i="16"/>
  <c r="H7" i="16" s="1"/>
  <c r="I7" i="16" s="1"/>
  <c r="F11" i="16"/>
  <c r="F12" i="16" s="1"/>
  <c r="F16" i="16" s="1"/>
  <c r="G7" i="15"/>
  <c r="H7" i="15" s="1"/>
  <c r="I7" i="15" s="1"/>
  <c r="J7" i="15" s="1"/>
  <c r="K7" i="15" s="1"/>
  <c r="F11" i="15"/>
  <c r="F12" i="15" s="1"/>
  <c r="F16" i="15" s="1"/>
  <c r="H6" i="15"/>
  <c r="G7" i="14"/>
  <c r="F11" i="13"/>
  <c r="F12" i="13" s="1"/>
  <c r="F16" i="13" s="1"/>
  <c r="G11" i="13"/>
  <c r="G12" i="13" s="1"/>
  <c r="G16" i="13" s="1"/>
  <c r="G11" i="11"/>
  <c r="G12" i="11" s="1"/>
  <c r="G16" i="11" s="1"/>
  <c r="F11" i="11"/>
  <c r="F12" i="11" s="1"/>
  <c r="F16" i="11" s="1"/>
  <c r="D11" i="10"/>
  <c r="D12" i="10" s="1"/>
  <c r="D16" i="10" s="1"/>
  <c r="F8" i="10"/>
  <c r="G8" i="10" s="1"/>
  <c r="H8" i="10" s="1"/>
  <c r="I8" i="10" s="1"/>
  <c r="J8" i="10" s="1"/>
  <c r="K8" i="10" s="1"/>
  <c r="B11" i="10"/>
  <c r="B12" i="10" s="1"/>
  <c r="B16" i="10" s="1"/>
  <c r="E11" i="10"/>
  <c r="E12" i="10" s="1"/>
  <c r="E16" i="10" s="1"/>
  <c r="C11" i="10"/>
  <c r="C12" i="10" s="1"/>
  <c r="C16" i="10" s="1"/>
  <c r="F7" i="9"/>
  <c r="G7" i="9" s="1"/>
  <c r="H7" i="9" s="1"/>
  <c r="I7" i="9" s="1"/>
  <c r="J7" i="9" s="1"/>
  <c r="K7" i="9" s="1"/>
  <c r="C11" i="9"/>
  <c r="C12" i="9" s="1"/>
  <c r="C16" i="9" s="1"/>
  <c r="C11" i="7"/>
  <c r="C12" i="7" s="1"/>
  <c r="C16" i="7" s="1"/>
  <c r="E28" i="76" l="1"/>
  <c r="D28" i="76"/>
  <c r="D25" i="76"/>
  <c r="E25" i="76"/>
  <c r="C25" i="76"/>
  <c r="D46" i="76"/>
  <c r="E46" i="76"/>
  <c r="C14" i="76"/>
  <c r="B14" i="76"/>
  <c r="E14" i="76"/>
  <c r="D14" i="76"/>
  <c r="D10" i="76"/>
  <c r="E10" i="76"/>
  <c r="E42" i="76"/>
  <c r="D54" i="76"/>
  <c r="C54" i="76"/>
  <c r="B54" i="76"/>
  <c r="B24" i="76"/>
  <c r="E24" i="76"/>
  <c r="D24" i="76"/>
  <c r="E6" i="76"/>
  <c r="E54" i="76"/>
  <c r="C10" i="76"/>
  <c r="C6" i="76"/>
  <c r="D6" i="76"/>
  <c r="H7" i="14"/>
  <c r="I7" i="14" s="1"/>
  <c r="J7" i="14" s="1"/>
  <c r="G6" i="14"/>
  <c r="G6" i="8"/>
  <c r="H6" i="8" s="1"/>
  <c r="F12" i="8"/>
  <c r="F16" i="8" s="1"/>
  <c r="F17" i="8" s="1"/>
  <c r="F18" i="8" s="1"/>
  <c r="E17" i="7"/>
  <c r="E18" i="7" s="1"/>
  <c r="D17" i="7"/>
  <c r="D18" i="7" s="1"/>
  <c r="C17" i="7"/>
  <c r="C18" i="7" s="1"/>
  <c r="B17" i="7"/>
  <c r="B18" i="7" s="1"/>
  <c r="B17" i="10"/>
  <c r="B18" i="10" s="1"/>
  <c r="D17" i="10"/>
  <c r="D18" i="10" s="1"/>
  <c r="C17" i="10"/>
  <c r="C18" i="10" s="1"/>
  <c r="E17" i="10"/>
  <c r="E18" i="10" s="1"/>
  <c r="F17" i="11"/>
  <c r="F18" i="11" s="1"/>
  <c r="G17" i="11"/>
  <c r="G18" i="11" s="1"/>
  <c r="F17" i="13"/>
  <c r="F18" i="13" s="1"/>
  <c r="G17" i="13"/>
  <c r="G18" i="13" s="1"/>
  <c r="F17" i="15"/>
  <c r="F18" i="15" s="1"/>
  <c r="F17" i="16"/>
  <c r="F18" i="16" s="1"/>
  <c r="G17" i="17"/>
  <c r="G18" i="17" s="1"/>
  <c r="F17" i="17"/>
  <c r="F18" i="17" s="1"/>
  <c r="G17" i="18"/>
  <c r="G18" i="18" s="1"/>
  <c r="F17" i="18"/>
  <c r="F18" i="18" s="1"/>
  <c r="G17" i="19"/>
  <c r="G18" i="19" s="1"/>
  <c r="F17" i="19"/>
  <c r="F18" i="19" s="1"/>
  <c r="G11" i="16"/>
  <c r="G12" i="16" s="1"/>
  <c r="G16" i="16" s="1"/>
  <c r="J7" i="16"/>
  <c r="G11" i="15"/>
  <c r="G12" i="15" s="1"/>
  <c r="G16" i="15" s="1"/>
  <c r="F11" i="10"/>
  <c r="F12" i="10" s="1"/>
  <c r="F16" i="10" s="1"/>
  <c r="G11" i="10"/>
  <c r="G12" i="10" s="1"/>
  <c r="G16" i="10" s="1"/>
  <c r="F11" i="9"/>
  <c r="F12" i="9" s="1"/>
  <c r="F16" i="9" s="1"/>
  <c r="G11" i="9"/>
  <c r="G12" i="9" s="1"/>
  <c r="G16" i="9" s="1"/>
  <c r="F11" i="7"/>
  <c r="F12" i="7" s="1"/>
  <c r="F16" i="7" s="1"/>
  <c r="G11" i="7"/>
  <c r="G12" i="7" s="1"/>
  <c r="G16" i="7" s="1"/>
  <c r="F28" i="76" l="1"/>
  <c r="G28" i="76"/>
  <c r="F25" i="76"/>
  <c r="G25" i="76"/>
  <c r="F46" i="76"/>
  <c r="G46" i="76"/>
  <c r="F14" i="76"/>
  <c r="F10" i="76"/>
  <c r="G54" i="76"/>
  <c r="F54" i="76"/>
  <c r="G24" i="76"/>
  <c r="F24" i="76"/>
  <c r="E49" i="76"/>
  <c r="C49" i="76"/>
  <c r="D49" i="76"/>
  <c r="B49" i="76"/>
  <c r="B47" i="76"/>
  <c r="C47" i="76"/>
  <c r="D47" i="76"/>
  <c r="E47" i="76"/>
  <c r="F6" i="76"/>
  <c r="G12" i="8"/>
  <c r="G16" i="8" s="1"/>
  <c r="G17" i="8" s="1"/>
  <c r="G18" i="8" s="1"/>
  <c r="K7" i="14"/>
  <c r="D17" i="9"/>
  <c r="D18" i="9" s="1"/>
  <c r="B17" i="9"/>
  <c r="B18" i="9" s="1"/>
  <c r="C17" i="9"/>
  <c r="C18" i="9" s="1"/>
  <c r="E17" i="9"/>
  <c r="E18" i="9" s="1"/>
  <c r="F17" i="7"/>
  <c r="F18" i="7" s="1"/>
  <c r="G17" i="7"/>
  <c r="G18" i="7" s="1"/>
  <c r="F17" i="10"/>
  <c r="F18" i="10" s="1"/>
  <c r="G17" i="10"/>
  <c r="G18" i="10" s="1"/>
  <c r="G17" i="15"/>
  <c r="G18" i="15" s="1"/>
  <c r="G17" i="16"/>
  <c r="G18" i="16" s="1"/>
  <c r="K7" i="16"/>
  <c r="G14" i="76" l="1"/>
  <c r="G10" i="76"/>
  <c r="G49" i="76"/>
  <c r="F49" i="76"/>
  <c r="G6" i="76"/>
  <c r="G47" i="76"/>
  <c r="F47" i="76"/>
  <c r="E33" i="76"/>
  <c r="C33" i="76"/>
  <c r="B33" i="76"/>
  <c r="D33" i="76"/>
  <c r="F17" i="9"/>
  <c r="F18" i="9" s="1"/>
  <c r="G17" i="9"/>
  <c r="G18" i="9" s="1"/>
  <c r="G33" i="76" l="1"/>
  <c r="F33" i="76"/>
  <c r="F3" i="6" l="1"/>
  <c r="F5" i="6" s="1"/>
  <c r="F10" i="6" s="1"/>
  <c r="G3" i="6"/>
  <c r="G5" i="6" s="1"/>
  <c r="G10" i="6" s="1"/>
  <c r="C3" i="6"/>
  <c r="C5" i="6" s="1"/>
  <c r="C10" i="6" s="1"/>
  <c r="D3" i="6"/>
  <c r="D5" i="6" s="1"/>
  <c r="D10" i="6" s="1"/>
  <c r="E3" i="6"/>
  <c r="E5" i="6" s="1"/>
  <c r="B3" i="6"/>
  <c r="B5" i="6" s="1"/>
  <c r="B10" i="6" s="1"/>
  <c r="N5" i="6"/>
  <c r="G3" i="5"/>
  <c r="G5" i="5" s="1"/>
  <c r="G10" i="5" s="1"/>
  <c r="C3" i="5"/>
  <c r="C5" i="5" s="1"/>
  <c r="C10" i="5" s="1"/>
  <c r="D3" i="5"/>
  <c r="D5" i="5" s="1"/>
  <c r="D10" i="5" s="1"/>
  <c r="E3" i="5"/>
  <c r="E5" i="5" s="1"/>
  <c r="F3" i="5"/>
  <c r="F5" i="5" s="1"/>
  <c r="F10" i="5" s="1"/>
  <c r="B3" i="5"/>
  <c r="B5" i="5" s="1"/>
  <c r="B10" i="5" s="1"/>
  <c r="N5" i="5"/>
  <c r="C3" i="4"/>
  <c r="C5" i="4" s="1"/>
  <c r="D3" i="4"/>
  <c r="D5" i="4" s="1"/>
  <c r="E3" i="4"/>
  <c r="E5" i="4" s="1"/>
  <c r="F3" i="4"/>
  <c r="F5" i="4" s="1"/>
  <c r="G3" i="4"/>
  <c r="G5" i="4" s="1"/>
  <c r="B3" i="4"/>
  <c r="B5" i="4" s="1"/>
  <c r="E10" i="6" l="1"/>
  <c r="E10" i="5"/>
  <c r="B11" i="6"/>
  <c r="B12" i="6" s="1"/>
  <c r="B16" i="6" s="1"/>
  <c r="B17" i="6" l="1"/>
  <c r="B18" i="6" s="1"/>
  <c r="E11" i="5"/>
  <c r="E12" i="5" s="1"/>
  <c r="E16" i="5" s="1"/>
  <c r="C11" i="5"/>
  <c r="C12" i="5" s="1"/>
  <c r="C16" i="5" s="1"/>
  <c r="B11" i="5"/>
  <c r="B12" i="5" s="1"/>
  <c r="B16" i="5" s="1"/>
  <c r="F8" i="5"/>
  <c r="G8" i="5" s="1"/>
  <c r="H8" i="5" s="1"/>
  <c r="I8" i="5" s="1"/>
  <c r="J8" i="5" s="1"/>
  <c r="K8" i="5" s="1"/>
  <c r="E11" i="6"/>
  <c r="E12" i="6" s="1"/>
  <c r="E16" i="6" s="1"/>
  <c r="F8" i="6"/>
  <c r="G8" i="6" s="1"/>
  <c r="H8" i="6" s="1"/>
  <c r="I8" i="6" s="1"/>
  <c r="J8" i="6" s="1"/>
  <c r="K8" i="6" s="1"/>
  <c r="C11" i="6"/>
  <c r="C12" i="6" s="1"/>
  <c r="C16" i="6" s="1"/>
  <c r="D11" i="6"/>
  <c r="D12" i="6" s="1"/>
  <c r="D16" i="6" s="1"/>
  <c r="F7" i="6"/>
  <c r="D11" i="5"/>
  <c r="D12" i="5" s="1"/>
  <c r="D16" i="5" s="1"/>
  <c r="B37" i="76" l="1"/>
  <c r="E17" i="5"/>
  <c r="E18" i="5" s="1"/>
  <c r="D17" i="5"/>
  <c r="D18" i="5" s="1"/>
  <c r="B17" i="5"/>
  <c r="B18" i="5" s="1"/>
  <c r="C17" i="5"/>
  <c r="C18" i="5" s="1"/>
  <c r="E17" i="6"/>
  <c r="E18" i="6" s="1"/>
  <c r="D17" i="6"/>
  <c r="D18" i="6" s="1"/>
  <c r="C17" i="6"/>
  <c r="C18" i="6" s="1"/>
  <c r="F11" i="5"/>
  <c r="F12" i="5" s="1"/>
  <c r="F16" i="5" s="1"/>
  <c r="G7" i="6"/>
  <c r="F11" i="6"/>
  <c r="F12" i="6" s="1"/>
  <c r="F16" i="6" s="1"/>
  <c r="G11" i="5"/>
  <c r="G12" i="5" s="1"/>
  <c r="G16" i="5" s="1"/>
  <c r="C37" i="76" l="1"/>
  <c r="D37" i="76"/>
  <c r="E37" i="76"/>
  <c r="C48" i="76"/>
  <c r="B48" i="76"/>
  <c r="D48" i="76"/>
  <c r="E48" i="76"/>
  <c r="G17" i="5"/>
  <c r="G18" i="5" s="1"/>
  <c r="F17" i="5"/>
  <c r="F18" i="5" s="1"/>
  <c r="F17" i="6"/>
  <c r="F18" i="6" s="1"/>
  <c r="H7" i="6"/>
  <c r="G11" i="6"/>
  <c r="G12" i="6" s="1"/>
  <c r="G16" i="6" s="1"/>
  <c r="F37" i="76" l="1"/>
  <c r="F48" i="76"/>
  <c r="G48" i="76"/>
  <c r="G17" i="6"/>
  <c r="G18" i="6" s="1"/>
  <c r="I7" i="6"/>
  <c r="G37" i="76" l="1"/>
  <c r="J7" i="6"/>
  <c r="K7" i="6" l="1"/>
  <c r="C3" i="3" l="1"/>
  <c r="C5" i="3" s="1"/>
  <c r="C10" i="3" s="1"/>
  <c r="D3" i="3"/>
  <c r="D5" i="3" s="1"/>
  <c r="D10" i="3" s="1"/>
  <c r="E3" i="3"/>
  <c r="E5" i="3" s="1"/>
  <c r="F3" i="3"/>
  <c r="F5" i="3" s="1"/>
  <c r="F10" i="3" s="1"/>
  <c r="G3" i="3"/>
  <c r="G5" i="3" s="1"/>
  <c r="G10" i="3" s="1"/>
  <c r="B3" i="3"/>
  <c r="B5" i="3" s="1"/>
  <c r="B10" i="3" s="1"/>
  <c r="N5" i="3"/>
  <c r="E10" i="3" l="1"/>
  <c r="F8" i="3" l="1"/>
  <c r="G8" i="3" s="1"/>
  <c r="H8" i="3" s="1"/>
  <c r="I8" i="3" s="1"/>
  <c r="J8" i="3" s="1"/>
  <c r="K8" i="3" s="1"/>
  <c r="B11" i="3"/>
  <c r="B12" i="3" s="1"/>
  <c r="B16" i="3" s="1"/>
  <c r="E11" i="3"/>
  <c r="E12" i="3" s="1"/>
  <c r="E16" i="3" s="1"/>
  <c r="F7" i="3"/>
  <c r="H7" i="3" s="1"/>
  <c r="I7" i="3" s="1"/>
  <c r="J7" i="3" s="1"/>
  <c r="K7" i="3" s="1"/>
  <c r="C11" i="3"/>
  <c r="C12" i="3" s="1"/>
  <c r="C16" i="3" s="1"/>
  <c r="D11" i="3"/>
  <c r="D12" i="3" s="1"/>
  <c r="D16" i="3" s="1"/>
  <c r="D17" i="3" l="1"/>
  <c r="D18" i="3" s="1"/>
  <c r="C17" i="3"/>
  <c r="C18" i="3" s="1"/>
  <c r="E17" i="3"/>
  <c r="E18" i="3" s="1"/>
  <c r="B17" i="3"/>
  <c r="B18" i="3" s="1"/>
  <c r="G11" i="3"/>
  <c r="G12" i="3" s="1"/>
  <c r="G16" i="3" s="1"/>
  <c r="F11" i="3"/>
  <c r="F12" i="3" s="1"/>
  <c r="F16" i="3" s="1"/>
  <c r="B40" i="76" l="1"/>
  <c r="D40" i="76"/>
  <c r="E40" i="76"/>
  <c r="C40" i="76"/>
  <c r="F17" i="3"/>
  <c r="F18" i="3" s="1"/>
  <c r="G17" i="3"/>
  <c r="G18" i="3" s="1"/>
  <c r="H4" i="4"/>
  <c r="I4" i="4" s="1"/>
  <c r="J4" i="4" s="1"/>
  <c r="K4" i="4" s="1"/>
  <c r="Q9" i="55"/>
  <c r="Q10" i="55"/>
  <c r="Q11" i="55"/>
  <c r="Q12" i="55"/>
  <c r="Q13" i="55"/>
  <c r="Q14" i="55"/>
  <c r="Q15" i="55"/>
  <c r="Q16" i="55"/>
  <c r="Q17" i="55"/>
  <c r="Q18" i="55"/>
  <c r="Q19" i="55"/>
  <c r="Q20" i="55"/>
  <c r="Q21" i="55"/>
  <c r="Q22" i="55"/>
  <c r="Q23" i="55"/>
  <c r="Q24" i="55"/>
  <c r="Q25" i="55"/>
  <c r="Q26" i="55"/>
  <c r="Q27" i="55"/>
  <c r="Q28" i="55"/>
  <c r="Q29" i="55"/>
  <c r="Q30" i="55"/>
  <c r="Q31" i="55"/>
  <c r="Q32" i="55"/>
  <c r="Q33" i="55"/>
  <c r="Q34" i="55"/>
  <c r="Q35" i="55"/>
  <c r="Q36" i="55"/>
  <c r="Q37" i="55"/>
  <c r="Q38" i="55"/>
  <c r="Q39" i="55"/>
  <c r="Q40" i="55"/>
  <c r="Q41" i="55"/>
  <c r="Q42" i="55"/>
  <c r="Q43" i="55"/>
  <c r="Q44" i="55"/>
  <c r="Q45" i="55"/>
  <c r="Q46" i="55"/>
  <c r="Q47" i="55"/>
  <c r="Q48" i="55"/>
  <c r="Q49" i="55"/>
  <c r="Q50" i="55"/>
  <c r="Q51" i="55"/>
  <c r="Q52" i="55"/>
  <c r="Q53" i="55"/>
  <c r="Q54" i="55"/>
  <c r="Q55" i="55"/>
  <c r="Q56" i="55"/>
  <c r="Q57" i="55"/>
  <c r="Q58" i="55"/>
  <c r="Q59" i="55"/>
  <c r="Q8" i="55"/>
  <c r="H4" i="58" l="1"/>
  <c r="I4" i="58" s="1"/>
  <c r="J4" i="58" s="1"/>
  <c r="K4" i="58" s="1"/>
  <c r="H3" i="58"/>
  <c r="F40" i="76"/>
  <c r="G40" i="76"/>
  <c r="H4" i="3"/>
  <c r="I4" i="3" s="1"/>
  <c r="J4" i="3" s="1"/>
  <c r="K4" i="3" s="1"/>
  <c r="H4" i="5"/>
  <c r="I4" i="5" s="1"/>
  <c r="J4" i="5" s="1"/>
  <c r="K4" i="5" s="1"/>
  <c r="H3" i="4"/>
  <c r="H5" i="58" l="1"/>
  <c r="H10" i="58" s="1"/>
  <c r="H11" i="58" s="1"/>
  <c r="H12" i="58" s="1"/>
  <c r="H16" i="58" s="1"/>
  <c r="H17" i="58" s="1"/>
  <c r="H18" i="58" s="1"/>
  <c r="I3" i="58"/>
  <c r="I3" i="4"/>
  <c r="H5" i="4"/>
  <c r="H10" i="4" s="1"/>
  <c r="H3" i="3"/>
  <c r="H5" i="3" s="1"/>
  <c r="H3" i="11"/>
  <c r="H5" i="11" s="1"/>
  <c r="H3" i="15"/>
  <c r="H5" i="15" s="1"/>
  <c r="H3" i="13"/>
  <c r="H5" i="13" s="1"/>
  <c r="H3" i="6"/>
  <c r="H5" i="6" s="1"/>
  <c r="H3" i="18"/>
  <c r="H5" i="18" s="1"/>
  <c r="H3" i="17"/>
  <c r="H5" i="17" s="1"/>
  <c r="H3" i="7"/>
  <c r="H5" i="7" s="1"/>
  <c r="H3" i="16"/>
  <c r="H5" i="16" s="1"/>
  <c r="H3" i="8"/>
  <c r="H5" i="8" s="1"/>
  <c r="H3" i="5"/>
  <c r="H5" i="5" s="1"/>
  <c r="H3" i="9"/>
  <c r="H5" i="9" s="1"/>
  <c r="H3" i="19"/>
  <c r="H5" i="19" s="1"/>
  <c r="H3" i="10"/>
  <c r="H5" i="10" s="1"/>
  <c r="H3" i="14"/>
  <c r="H5" i="14" s="1"/>
  <c r="F3" i="29"/>
  <c r="F5" i="29" s="1"/>
  <c r="H3" i="34"/>
  <c r="H5" i="34" s="1"/>
  <c r="H56" i="76" l="1"/>
  <c r="I5" i="58"/>
  <c r="I10" i="58" s="1"/>
  <c r="I11" i="58" s="1"/>
  <c r="I12" i="58" s="1"/>
  <c r="I16" i="58" s="1"/>
  <c r="I17" i="58" s="1"/>
  <c r="I18" i="58" s="1"/>
  <c r="J3" i="58"/>
  <c r="J3" i="4"/>
  <c r="I5" i="4"/>
  <c r="I10" i="4" s="1"/>
  <c r="H10" i="11"/>
  <c r="H11" i="11" s="1"/>
  <c r="H12" i="11" s="1"/>
  <c r="H16" i="11" s="1"/>
  <c r="I3" i="11"/>
  <c r="I5" i="11" s="1"/>
  <c r="I3" i="14"/>
  <c r="I5" i="14" s="1"/>
  <c r="H10" i="19"/>
  <c r="H11" i="19" s="1"/>
  <c r="H12" i="19" s="1"/>
  <c r="H16" i="19" s="1"/>
  <c r="H10" i="5"/>
  <c r="H11" i="5" s="1"/>
  <c r="H12" i="5" s="1"/>
  <c r="H16" i="5" s="1"/>
  <c r="H10" i="8"/>
  <c r="H11" i="8" s="1"/>
  <c r="H10" i="17"/>
  <c r="H11" i="17" s="1"/>
  <c r="H12" i="17" s="1"/>
  <c r="H16" i="17" s="1"/>
  <c r="I3" i="13"/>
  <c r="H10" i="14"/>
  <c r="I3" i="19"/>
  <c r="I5" i="19" s="1"/>
  <c r="I3" i="5"/>
  <c r="I5" i="5" s="1"/>
  <c r="I3" i="8"/>
  <c r="I5" i="8" s="1"/>
  <c r="H10" i="7"/>
  <c r="H11" i="7" s="1"/>
  <c r="H12" i="7" s="1"/>
  <c r="H16" i="7" s="1"/>
  <c r="I3" i="18"/>
  <c r="I5" i="18" s="1"/>
  <c r="H10" i="6"/>
  <c r="H11" i="6" s="1"/>
  <c r="H12" i="6" s="1"/>
  <c r="H16" i="6" s="1"/>
  <c r="H10" i="13"/>
  <c r="H11" i="13" s="1"/>
  <c r="H12" i="13" s="1"/>
  <c r="H16" i="13" s="1"/>
  <c r="I3" i="10"/>
  <c r="H10" i="9"/>
  <c r="H11" i="9" s="1"/>
  <c r="H12" i="9" s="1"/>
  <c r="H16" i="9" s="1"/>
  <c r="H10" i="16"/>
  <c r="H11" i="16" s="1"/>
  <c r="H12" i="16" s="1"/>
  <c r="H16" i="16" s="1"/>
  <c r="I3" i="7"/>
  <c r="H10" i="18"/>
  <c r="H11" i="18" s="1"/>
  <c r="H12" i="18" s="1"/>
  <c r="H16" i="18" s="1"/>
  <c r="H10" i="15"/>
  <c r="H11" i="15" s="1"/>
  <c r="H12" i="15" s="1"/>
  <c r="H16" i="15" s="1"/>
  <c r="I3" i="3"/>
  <c r="I5" i="3" s="1"/>
  <c r="H10" i="10"/>
  <c r="H11" i="10" s="1"/>
  <c r="H12" i="10" s="1"/>
  <c r="H16" i="10" s="1"/>
  <c r="I3" i="9"/>
  <c r="I3" i="16"/>
  <c r="I5" i="16" s="1"/>
  <c r="I3" i="17"/>
  <c r="I5" i="17" s="1"/>
  <c r="I3" i="6"/>
  <c r="I5" i="6" s="1"/>
  <c r="I3" i="15"/>
  <c r="I5" i="15" s="1"/>
  <c r="H10" i="3"/>
  <c r="H11" i="3" s="1"/>
  <c r="H12" i="3" s="1"/>
  <c r="H16" i="3" s="1"/>
  <c r="H10" i="34"/>
  <c r="H11" i="34" s="1"/>
  <c r="H12" i="34" s="1"/>
  <c r="H16" i="34" s="1"/>
  <c r="I3" i="34"/>
  <c r="F10" i="29"/>
  <c r="G3" i="29"/>
  <c r="G5" i="29" s="1"/>
  <c r="B10" i="4"/>
  <c r="C10" i="4"/>
  <c r="D10" i="4"/>
  <c r="E10" i="4"/>
  <c r="F10" i="4"/>
  <c r="G10" i="4"/>
  <c r="N5" i="4"/>
  <c r="J5" i="58" l="1"/>
  <c r="J10" i="58" s="1"/>
  <c r="J11" i="58" s="1"/>
  <c r="J12" i="58" s="1"/>
  <c r="J16" i="58" s="1"/>
  <c r="J17" i="58" s="1"/>
  <c r="J18" i="58" s="1"/>
  <c r="K3" i="58"/>
  <c r="I56" i="76"/>
  <c r="H12" i="8"/>
  <c r="H16" i="8" s="1"/>
  <c r="H17" i="8" s="1"/>
  <c r="H18" i="8" s="1"/>
  <c r="K3" i="4"/>
  <c r="K5" i="4" s="1"/>
  <c r="K10" i="4" s="1"/>
  <c r="J5" i="4"/>
  <c r="J10" i="4" s="1"/>
  <c r="H17" i="3"/>
  <c r="H18" i="3" s="1"/>
  <c r="H17" i="5"/>
  <c r="H18" i="5" s="1"/>
  <c r="H17" i="6"/>
  <c r="H18" i="6" s="1"/>
  <c r="H17" i="7"/>
  <c r="H18" i="7" s="1"/>
  <c r="J3" i="7"/>
  <c r="I5" i="7"/>
  <c r="I10" i="7" s="1"/>
  <c r="I11" i="7" s="1"/>
  <c r="I12" i="7" s="1"/>
  <c r="I16" i="7" s="1"/>
  <c r="J3" i="9"/>
  <c r="I5" i="9"/>
  <c r="I10" i="9" s="1"/>
  <c r="I11" i="9" s="1"/>
  <c r="I12" i="9" s="1"/>
  <c r="I16" i="9" s="1"/>
  <c r="H17" i="10"/>
  <c r="H18" i="10" s="1"/>
  <c r="J3" i="10"/>
  <c r="I5" i="10"/>
  <c r="I10" i="10" s="1"/>
  <c r="I11" i="10" s="1"/>
  <c r="I12" i="10" s="1"/>
  <c r="I16" i="10" s="1"/>
  <c r="H17" i="11"/>
  <c r="H18" i="11" s="1"/>
  <c r="H17" i="13"/>
  <c r="H18" i="13" s="1"/>
  <c r="J3" i="13"/>
  <c r="I5" i="13"/>
  <c r="I10" i="13" s="1"/>
  <c r="I11" i="13" s="1"/>
  <c r="I12" i="13" s="1"/>
  <c r="I16" i="13" s="1"/>
  <c r="H17" i="15"/>
  <c r="H18" i="15" s="1"/>
  <c r="H17" i="16"/>
  <c r="H18" i="16" s="1"/>
  <c r="H17" i="17"/>
  <c r="H18" i="17" s="1"/>
  <c r="H17" i="18"/>
  <c r="H18" i="18" s="1"/>
  <c r="H17" i="19"/>
  <c r="H18" i="19" s="1"/>
  <c r="J3" i="34"/>
  <c r="I5" i="34"/>
  <c r="I10" i="34" s="1"/>
  <c r="I11" i="34" s="1"/>
  <c r="I12" i="34" s="1"/>
  <c r="I16" i="34" s="1"/>
  <c r="H17" i="34"/>
  <c r="H18" i="34" s="1"/>
  <c r="J3" i="6"/>
  <c r="J5" i="6" s="1"/>
  <c r="J3" i="17"/>
  <c r="J5" i="17" s="1"/>
  <c r="I10" i="6"/>
  <c r="I11" i="6" s="1"/>
  <c r="I12" i="6" s="1"/>
  <c r="I16" i="6" s="1"/>
  <c r="J3" i="5"/>
  <c r="J5" i="5" s="1"/>
  <c r="I10" i="14"/>
  <c r="I11" i="14" s="1"/>
  <c r="I10" i="8"/>
  <c r="I11" i="8" s="1"/>
  <c r="I12" i="8" s="1"/>
  <c r="I16" i="8" s="1"/>
  <c r="J3" i="16"/>
  <c r="J5" i="16" s="1"/>
  <c r="J3" i="3"/>
  <c r="J3" i="18"/>
  <c r="I10" i="3"/>
  <c r="I11" i="3" s="1"/>
  <c r="I12" i="3" s="1"/>
  <c r="I16" i="3" s="1"/>
  <c r="I10" i="16"/>
  <c r="I11" i="16" s="1"/>
  <c r="I12" i="16" s="1"/>
  <c r="I16" i="16" s="1"/>
  <c r="I10" i="17"/>
  <c r="I11" i="17" s="1"/>
  <c r="I12" i="17" s="1"/>
  <c r="I16" i="17" s="1"/>
  <c r="I10" i="19"/>
  <c r="I11" i="19" s="1"/>
  <c r="I12" i="19" s="1"/>
  <c r="I16" i="19" s="1"/>
  <c r="J3" i="11"/>
  <c r="I10" i="11"/>
  <c r="I11" i="11" s="1"/>
  <c r="I12" i="11" s="1"/>
  <c r="I16" i="11" s="1"/>
  <c r="J3" i="8"/>
  <c r="J5" i="8" s="1"/>
  <c r="J3" i="19"/>
  <c r="I10" i="5"/>
  <c r="I11" i="5" s="1"/>
  <c r="I12" i="5" s="1"/>
  <c r="I16" i="5" s="1"/>
  <c r="J3" i="15"/>
  <c r="I10" i="15"/>
  <c r="I11" i="15" s="1"/>
  <c r="I12" i="15" s="1"/>
  <c r="I16" i="15" s="1"/>
  <c r="I10" i="18"/>
  <c r="I11" i="18" s="1"/>
  <c r="I12" i="18" s="1"/>
  <c r="I16" i="18" s="1"/>
  <c r="J3" i="14"/>
  <c r="H3" i="29"/>
  <c r="G10" i="29"/>
  <c r="C8" i="4"/>
  <c r="D8" i="4" s="1"/>
  <c r="E8" i="4" s="1"/>
  <c r="F8" i="4" s="1"/>
  <c r="G8" i="4" s="1"/>
  <c r="H8" i="4" s="1"/>
  <c r="I8" i="4" s="1"/>
  <c r="J8" i="4" s="1"/>
  <c r="K8" i="4" s="1"/>
  <c r="K5" i="58" l="1"/>
  <c r="K10" i="58" s="1"/>
  <c r="K11" i="58" s="1"/>
  <c r="K12" i="58" s="1"/>
  <c r="K16" i="58" s="1"/>
  <c r="K17" i="58" s="1"/>
  <c r="K18" i="58" s="1"/>
  <c r="J56" i="76"/>
  <c r="H26" i="76"/>
  <c r="H28" i="76"/>
  <c r="H25" i="76"/>
  <c r="H46" i="76"/>
  <c r="H14" i="76"/>
  <c r="H10" i="76"/>
  <c r="H54" i="76"/>
  <c r="H24" i="76"/>
  <c r="H49" i="76"/>
  <c r="H47" i="76"/>
  <c r="H37" i="76"/>
  <c r="H48" i="76"/>
  <c r="H6" i="76"/>
  <c r="H40" i="76"/>
  <c r="I12" i="14"/>
  <c r="I16" i="14" s="1"/>
  <c r="I17" i="14" s="1"/>
  <c r="I18" i="14" s="1"/>
  <c r="H17" i="9"/>
  <c r="H18" i="9" s="1"/>
  <c r="K3" i="3"/>
  <c r="K5" i="3" s="1"/>
  <c r="K10" i="3" s="1"/>
  <c r="K11" i="3" s="1"/>
  <c r="K12" i="3" s="1"/>
  <c r="K16" i="3" s="1"/>
  <c r="J5" i="3"/>
  <c r="J10" i="3" s="1"/>
  <c r="J11" i="3" s="1"/>
  <c r="J12" i="3" s="1"/>
  <c r="J16" i="3" s="1"/>
  <c r="I17" i="3"/>
  <c r="I18" i="3" s="1"/>
  <c r="I17" i="5"/>
  <c r="I18" i="5" s="1"/>
  <c r="I17" i="6"/>
  <c r="I18" i="6" s="1"/>
  <c r="K3" i="7"/>
  <c r="K5" i="7" s="1"/>
  <c r="K10" i="7" s="1"/>
  <c r="K11" i="7" s="1"/>
  <c r="K12" i="7" s="1"/>
  <c r="K16" i="7" s="1"/>
  <c r="J5" i="7"/>
  <c r="J10" i="7" s="1"/>
  <c r="J11" i="7" s="1"/>
  <c r="J12" i="7" s="1"/>
  <c r="J16" i="7" s="1"/>
  <c r="I17" i="7"/>
  <c r="I18" i="7" s="1"/>
  <c r="I17" i="8"/>
  <c r="I18" i="8" s="1"/>
  <c r="K3" i="9"/>
  <c r="K5" i="9" s="1"/>
  <c r="K10" i="9" s="1"/>
  <c r="K11" i="9" s="1"/>
  <c r="K12" i="9" s="1"/>
  <c r="K16" i="9" s="1"/>
  <c r="J5" i="9"/>
  <c r="J10" i="9" s="1"/>
  <c r="J11" i="9" s="1"/>
  <c r="J12" i="9" s="1"/>
  <c r="J16" i="9" s="1"/>
  <c r="K3" i="10"/>
  <c r="K5" i="10" s="1"/>
  <c r="K10" i="10" s="1"/>
  <c r="K11" i="10" s="1"/>
  <c r="K12" i="10" s="1"/>
  <c r="K16" i="10" s="1"/>
  <c r="J5" i="10"/>
  <c r="J10" i="10" s="1"/>
  <c r="J11" i="10" s="1"/>
  <c r="J12" i="10" s="1"/>
  <c r="J16" i="10" s="1"/>
  <c r="I17" i="10"/>
  <c r="I18" i="10" s="1"/>
  <c r="K3" i="11"/>
  <c r="K5" i="11" s="1"/>
  <c r="K10" i="11" s="1"/>
  <c r="K11" i="11" s="1"/>
  <c r="K12" i="11" s="1"/>
  <c r="K16" i="11" s="1"/>
  <c r="J5" i="11"/>
  <c r="J10" i="11" s="1"/>
  <c r="J11" i="11" s="1"/>
  <c r="J12" i="11" s="1"/>
  <c r="J16" i="11" s="1"/>
  <c r="I17" i="11"/>
  <c r="I18" i="11" s="1"/>
  <c r="K3" i="13"/>
  <c r="K5" i="13" s="1"/>
  <c r="K10" i="13" s="1"/>
  <c r="K11" i="13" s="1"/>
  <c r="K12" i="13" s="1"/>
  <c r="K16" i="13" s="1"/>
  <c r="J5" i="13"/>
  <c r="J10" i="13" s="1"/>
  <c r="J11" i="13" s="1"/>
  <c r="J12" i="13" s="1"/>
  <c r="J16" i="13" s="1"/>
  <c r="I17" i="13"/>
  <c r="I18" i="13" s="1"/>
  <c r="K3" i="14"/>
  <c r="K5" i="14" s="1"/>
  <c r="K10" i="14" s="1"/>
  <c r="K11" i="14" s="1"/>
  <c r="J5" i="14"/>
  <c r="J10" i="14" s="1"/>
  <c r="J11" i="14" s="1"/>
  <c r="I17" i="15"/>
  <c r="I18" i="15" s="1"/>
  <c r="K3" i="15"/>
  <c r="K5" i="15" s="1"/>
  <c r="K10" i="15" s="1"/>
  <c r="K11" i="15" s="1"/>
  <c r="K12" i="15" s="1"/>
  <c r="K16" i="15" s="1"/>
  <c r="J5" i="15"/>
  <c r="J10" i="15" s="1"/>
  <c r="J11" i="15" s="1"/>
  <c r="J12" i="15" s="1"/>
  <c r="J16" i="15" s="1"/>
  <c r="I17" i="16"/>
  <c r="I18" i="16" s="1"/>
  <c r="I17" i="17"/>
  <c r="I18" i="17" s="1"/>
  <c r="I17" i="18"/>
  <c r="I18" i="18" s="1"/>
  <c r="K3" i="18"/>
  <c r="K5" i="18" s="1"/>
  <c r="K10" i="18" s="1"/>
  <c r="K11" i="18" s="1"/>
  <c r="K12" i="18" s="1"/>
  <c r="K16" i="18" s="1"/>
  <c r="J5" i="18"/>
  <c r="J10" i="18" s="1"/>
  <c r="J11" i="18" s="1"/>
  <c r="J12" i="18" s="1"/>
  <c r="J16" i="18" s="1"/>
  <c r="I17" i="19"/>
  <c r="I18" i="19" s="1"/>
  <c r="K3" i="19"/>
  <c r="K5" i="19" s="1"/>
  <c r="K10" i="19" s="1"/>
  <c r="K11" i="19" s="1"/>
  <c r="K12" i="19" s="1"/>
  <c r="K16" i="19" s="1"/>
  <c r="J5" i="19"/>
  <c r="J10" i="19" s="1"/>
  <c r="J11" i="19" s="1"/>
  <c r="J12" i="19" s="1"/>
  <c r="J16" i="19" s="1"/>
  <c r="I3" i="29"/>
  <c r="H5" i="29"/>
  <c r="H10" i="29" s="1"/>
  <c r="K3" i="34"/>
  <c r="K5" i="34" s="1"/>
  <c r="K10" i="34" s="1"/>
  <c r="K11" i="34" s="1"/>
  <c r="K12" i="34" s="1"/>
  <c r="K16" i="34" s="1"/>
  <c r="J5" i="34"/>
  <c r="J10" i="34" s="1"/>
  <c r="J11" i="34" s="1"/>
  <c r="J12" i="34" s="1"/>
  <c r="J16" i="34" s="1"/>
  <c r="I17" i="34"/>
  <c r="I18" i="34" s="1"/>
  <c r="J10" i="5"/>
  <c r="J11" i="5" s="1"/>
  <c r="J12" i="5" s="1"/>
  <c r="J16" i="5" s="1"/>
  <c r="K3" i="8"/>
  <c r="K5" i="8" s="1"/>
  <c r="K10" i="8" s="1"/>
  <c r="K3" i="16"/>
  <c r="K5" i="16" s="1"/>
  <c r="K10" i="16" s="1"/>
  <c r="J10" i="17"/>
  <c r="J11" i="17" s="1"/>
  <c r="J12" i="17" s="1"/>
  <c r="J16" i="17" s="1"/>
  <c r="K3" i="17"/>
  <c r="K5" i="17" s="1"/>
  <c r="K10" i="17" s="1"/>
  <c r="K3" i="5"/>
  <c r="K5" i="5" s="1"/>
  <c r="K10" i="5" s="1"/>
  <c r="J10" i="6"/>
  <c r="J11" i="6" s="1"/>
  <c r="J12" i="6" s="1"/>
  <c r="J16" i="6" s="1"/>
  <c r="J10" i="16"/>
  <c r="J11" i="16" s="1"/>
  <c r="J12" i="16" s="1"/>
  <c r="J16" i="16" s="1"/>
  <c r="J10" i="8"/>
  <c r="J11" i="8" s="1"/>
  <c r="J12" i="8" s="1"/>
  <c r="J16" i="8" s="1"/>
  <c r="K3" i="6"/>
  <c r="K5" i="6" s="1"/>
  <c r="K10" i="6" s="1"/>
  <c r="E11" i="4"/>
  <c r="E12" i="4" s="1"/>
  <c r="E16" i="4" s="1"/>
  <c r="G11" i="4"/>
  <c r="G12" i="4" s="1"/>
  <c r="G16" i="4" s="1"/>
  <c r="D11" i="4"/>
  <c r="D12" i="4" s="1"/>
  <c r="D16" i="4" s="1"/>
  <c r="F11" i="4"/>
  <c r="F12" i="4" s="1"/>
  <c r="F16" i="4" s="1"/>
  <c r="C11" i="4"/>
  <c r="C12" i="4" s="1"/>
  <c r="C16" i="4" s="1"/>
  <c r="J11" i="4"/>
  <c r="J12" i="4" s="1"/>
  <c r="J16" i="4" s="1"/>
  <c r="H11" i="4"/>
  <c r="H12" i="4" s="1"/>
  <c r="H16" i="4" s="1"/>
  <c r="I11" i="4"/>
  <c r="I12" i="4" s="1"/>
  <c r="I16" i="4" s="1"/>
  <c r="K11" i="4"/>
  <c r="K12" i="4" s="1"/>
  <c r="K16" i="4" s="1"/>
  <c r="B11" i="4"/>
  <c r="B12" i="4" s="1"/>
  <c r="B16" i="4" s="1"/>
  <c r="K56" i="76" l="1"/>
  <c r="I26" i="76"/>
  <c r="I28" i="76"/>
  <c r="I25" i="76"/>
  <c r="I46" i="76"/>
  <c r="I14" i="76"/>
  <c r="I10" i="76"/>
  <c r="I54" i="76"/>
  <c r="I24" i="76"/>
  <c r="I49" i="76"/>
  <c r="I6" i="76"/>
  <c r="I47" i="76"/>
  <c r="I37" i="76"/>
  <c r="I48" i="76"/>
  <c r="H33" i="76"/>
  <c r="I42" i="76"/>
  <c r="I40" i="76"/>
  <c r="J12" i="14"/>
  <c r="J16" i="14" s="1"/>
  <c r="J17" i="14" s="1"/>
  <c r="J18" i="14" s="1"/>
  <c r="K12" i="14"/>
  <c r="K16" i="14" s="1"/>
  <c r="K17" i="14" s="1"/>
  <c r="K18" i="14" s="1"/>
  <c r="I17" i="9"/>
  <c r="I18" i="9" s="1"/>
  <c r="H17" i="4"/>
  <c r="H18" i="4" s="1"/>
  <c r="D17" i="4"/>
  <c r="D18" i="4" s="1"/>
  <c r="I17" i="4"/>
  <c r="I18" i="4" s="1"/>
  <c r="F17" i="4"/>
  <c r="F18" i="4" s="1"/>
  <c r="E17" i="4"/>
  <c r="E18" i="4" s="1"/>
  <c r="B17" i="4"/>
  <c r="B18" i="4" s="1"/>
  <c r="J17" i="4"/>
  <c r="J18" i="4" s="1"/>
  <c r="K17" i="4"/>
  <c r="K18" i="4" s="1"/>
  <c r="C17" i="4"/>
  <c r="C18" i="4" s="1"/>
  <c r="G17" i="4"/>
  <c r="G18" i="4" s="1"/>
  <c r="K17" i="3"/>
  <c r="K18" i="3" s="1"/>
  <c r="J17" i="3"/>
  <c r="J18" i="3" s="1"/>
  <c r="J17" i="5"/>
  <c r="J18" i="5" s="1"/>
  <c r="J17" i="6"/>
  <c r="J18" i="6" s="1"/>
  <c r="J17" i="7"/>
  <c r="J18" i="7" s="1"/>
  <c r="K17" i="7"/>
  <c r="K18" i="7" s="1"/>
  <c r="J17" i="8"/>
  <c r="J18" i="8" s="1"/>
  <c r="J17" i="10"/>
  <c r="J18" i="10" s="1"/>
  <c r="K17" i="10"/>
  <c r="K18" i="10" s="1"/>
  <c r="K17" i="11"/>
  <c r="K18" i="11" s="1"/>
  <c r="J17" i="11"/>
  <c r="J18" i="11" s="1"/>
  <c r="K17" i="13"/>
  <c r="K18" i="13" s="1"/>
  <c r="J17" i="13"/>
  <c r="J18" i="13" s="1"/>
  <c r="K17" i="15"/>
  <c r="K18" i="15" s="1"/>
  <c r="J17" i="15"/>
  <c r="J18" i="15" s="1"/>
  <c r="J17" i="16"/>
  <c r="J18" i="16" s="1"/>
  <c r="J17" i="17"/>
  <c r="J18" i="17" s="1"/>
  <c r="K17" i="18"/>
  <c r="K18" i="18" s="1"/>
  <c r="J17" i="18"/>
  <c r="J18" i="18" s="1"/>
  <c r="J17" i="19"/>
  <c r="J18" i="19" s="1"/>
  <c r="K17" i="19"/>
  <c r="K18" i="19" s="1"/>
  <c r="J3" i="29"/>
  <c r="I5" i="29"/>
  <c r="I10" i="29" s="1"/>
  <c r="K17" i="34"/>
  <c r="K18" i="34" s="1"/>
  <c r="J17" i="34"/>
  <c r="J18" i="34" s="1"/>
  <c r="K11" i="6"/>
  <c r="K12" i="6" s="1"/>
  <c r="K16" i="6" s="1"/>
  <c r="K11" i="5"/>
  <c r="K12" i="5" s="1"/>
  <c r="K16" i="5" s="1"/>
  <c r="K11" i="17"/>
  <c r="K12" i="17" s="1"/>
  <c r="K16" i="17" s="1"/>
  <c r="K11" i="16"/>
  <c r="K12" i="16" s="1"/>
  <c r="K16" i="16" s="1"/>
  <c r="K11" i="8"/>
  <c r="K12" i="8" s="1"/>
  <c r="K16" i="8" s="1"/>
  <c r="J26" i="76" l="1"/>
  <c r="K26" i="76"/>
  <c r="K28" i="76"/>
  <c r="J28" i="76"/>
  <c r="J25" i="76"/>
  <c r="K25" i="76"/>
  <c r="J46" i="76"/>
  <c r="J14" i="76"/>
  <c r="J10" i="76"/>
  <c r="K10" i="76"/>
  <c r="J54" i="76"/>
  <c r="K54" i="76"/>
  <c r="J24" i="76"/>
  <c r="K24" i="76"/>
  <c r="K49" i="76"/>
  <c r="J49" i="76"/>
  <c r="J6" i="76"/>
  <c r="K47" i="76"/>
  <c r="J47" i="76"/>
  <c r="J37" i="76"/>
  <c r="J48" i="76"/>
  <c r="I33" i="76"/>
  <c r="K42" i="76"/>
  <c r="J42" i="76"/>
  <c r="J50" i="76"/>
  <c r="I50" i="76"/>
  <c r="G50" i="76"/>
  <c r="B50" i="76"/>
  <c r="D50" i="76"/>
  <c r="C50" i="76"/>
  <c r="E50" i="76"/>
  <c r="H50" i="76"/>
  <c r="K50" i="76"/>
  <c r="F50" i="76"/>
  <c r="J40" i="76"/>
  <c r="K40" i="76"/>
  <c r="J17" i="9"/>
  <c r="J18" i="9" s="1"/>
  <c r="K17" i="9"/>
  <c r="K18" i="9" s="1"/>
  <c r="K17" i="5"/>
  <c r="K18" i="5" s="1"/>
  <c r="K17" i="6"/>
  <c r="K18" i="6" s="1"/>
  <c r="K17" i="8"/>
  <c r="K18" i="8" s="1"/>
  <c r="K17" i="16"/>
  <c r="K18" i="16" s="1"/>
  <c r="K17" i="17"/>
  <c r="K18" i="17" s="1"/>
  <c r="K3" i="29"/>
  <c r="K5" i="29" s="1"/>
  <c r="K10" i="29" s="1"/>
  <c r="J5" i="29"/>
  <c r="J10" i="29" s="1"/>
  <c r="K46" i="76" l="1"/>
  <c r="K14" i="76"/>
  <c r="K6" i="76"/>
  <c r="K37" i="76"/>
  <c r="K48" i="76"/>
  <c r="K33" i="76"/>
  <c r="J33" i="76"/>
  <c r="B5" i="50" l="1"/>
  <c r="B10" i="50" s="1"/>
  <c r="B11" i="50" s="1"/>
  <c r="B12" i="50" s="1"/>
  <c r="B16" i="50" s="1"/>
  <c r="B17" i="50" s="1"/>
  <c r="B18" i="50" s="1"/>
  <c r="C3" i="50"/>
  <c r="B34" i="76" l="1"/>
  <c r="C5" i="50"/>
  <c r="C10" i="50" s="1"/>
  <c r="C11" i="50" s="1"/>
  <c r="C12" i="50" s="1"/>
  <c r="C16" i="50" s="1"/>
  <c r="C17" i="50" s="1"/>
  <c r="C18" i="50" s="1"/>
  <c r="D3" i="50"/>
  <c r="B5" i="49"/>
  <c r="B10" i="49" s="1"/>
  <c r="B11" i="49" s="1"/>
  <c r="B12" i="49" s="1"/>
  <c r="B16" i="49" s="1"/>
  <c r="C3" i="49"/>
  <c r="C34" i="76" l="1"/>
  <c r="D5" i="50"/>
  <c r="D10" i="50" s="1"/>
  <c r="D11" i="50" s="1"/>
  <c r="D12" i="50" s="1"/>
  <c r="D16" i="50" s="1"/>
  <c r="D17" i="50" s="1"/>
  <c r="D18" i="50" s="1"/>
  <c r="E3" i="50"/>
  <c r="C5" i="49"/>
  <c r="C10" i="49" s="1"/>
  <c r="C11" i="49" s="1"/>
  <c r="C12" i="49" s="1"/>
  <c r="C16" i="49" s="1"/>
  <c r="D3" i="49"/>
  <c r="B17" i="49"/>
  <c r="B18" i="49" s="1"/>
  <c r="C8" i="48" l="1"/>
  <c r="D8" i="48" s="1"/>
  <c r="E8" i="48" s="1"/>
  <c r="F8" i="48" s="1"/>
  <c r="G8" i="48" s="1"/>
  <c r="H8" i="48" s="1"/>
  <c r="I8" i="48" s="1"/>
  <c r="J8" i="48" s="1"/>
  <c r="K8" i="48" s="1"/>
  <c r="B43" i="76"/>
  <c r="D34" i="76"/>
  <c r="E5" i="50"/>
  <c r="E10" i="50" s="1"/>
  <c r="E11" i="50" s="1"/>
  <c r="E12" i="50" s="1"/>
  <c r="E16" i="50" s="1"/>
  <c r="E17" i="50" s="1"/>
  <c r="E18" i="50" s="1"/>
  <c r="F3" i="50"/>
  <c r="E3" i="49"/>
  <c r="D5" i="49"/>
  <c r="D10" i="49" s="1"/>
  <c r="D11" i="49" s="1"/>
  <c r="D12" i="49" s="1"/>
  <c r="C17" i="49"/>
  <c r="C18" i="49" s="1"/>
  <c r="C43" i="76" l="1"/>
  <c r="E34" i="76"/>
  <c r="G3" i="50"/>
  <c r="F5" i="50"/>
  <c r="F10" i="50" s="1"/>
  <c r="F11" i="50" s="1"/>
  <c r="F12" i="50" s="1"/>
  <c r="F16" i="50" s="1"/>
  <c r="F17" i="50" s="1"/>
  <c r="F18" i="50" s="1"/>
  <c r="B4" i="48"/>
  <c r="B5" i="48" s="1"/>
  <c r="B10" i="48" s="1"/>
  <c r="B11" i="48" s="1"/>
  <c r="B12" i="48" s="1"/>
  <c r="B16" i="48" s="1"/>
  <c r="B17" i="48" s="1"/>
  <c r="B18" i="48" s="1"/>
  <c r="C3" i="48"/>
  <c r="D16" i="49"/>
  <c r="D17" i="49" s="1"/>
  <c r="D18" i="49" s="1"/>
  <c r="E5" i="49"/>
  <c r="E10" i="49" s="1"/>
  <c r="E11" i="49" s="1"/>
  <c r="E12" i="49" s="1"/>
  <c r="E16" i="49" s="1"/>
  <c r="F3" i="49"/>
  <c r="D43" i="76" l="1"/>
  <c r="B30" i="76"/>
  <c r="F34" i="76"/>
  <c r="G5" i="50"/>
  <c r="G10" i="50" s="1"/>
  <c r="G11" i="50" s="1"/>
  <c r="G12" i="50" s="1"/>
  <c r="G16" i="50" s="1"/>
  <c r="G17" i="50" s="1"/>
  <c r="G18" i="50" s="1"/>
  <c r="H3" i="50"/>
  <c r="C4" i="48"/>
  <c r="C5" i="48" s="1"/>
  <c r="C10" i="48" s="1"/>
  <c r="C11" i="48" s="1"/>
  <c r="C12" i="48" s="1"/>
  <c r="C16" i="48" s="1"/>
  <c r="C17" i="48" s="1"/>
  <c r="C18" i="48" s="1"/>
  <c r="D3" i="48"/>
  <c r="B4" i="46"/>
  <c r="B5" i="46" s="1"/>
  <c r="B10" i="46" s="1"/>
  <c r="B11" i="46" s="1"/>
  <c r="B12" i="46" s="1"/>
  <c r="B16" i="46" s="1"/>
  <c r="B17" i="46" s="1"/>
  <c r="B18" i="46" s="1"/>
  <c r="C3" i="46"/>
  <c r="E17" i="49"/>
  <c r="E18" i="49" s="1"/>
  <c r="F5" i="49"/>
  <c r="F10" i="49" s="1"/>
  <c r="F11" i="49" s="1"/>
  <c r="F12" i="49" s="1"/>
  <c r="F16" i="49" s="1"/>
  <c r="G3" i="49"/>
  <c r="E43" i="76" l="1"/>
  <c r="B16" i="76"/>
  <c r="C30" i="76"/>
  <c r="G34" i="76"/>
  <c r="H5" i="50"/>
  <c r="H10" i="50" s="1"/>
  <c r="H11" i="50" s="1"/>
  <c r="H12" i="50" s="1"/>
  <c r="H16" i="50" s="1"/>
  <c r="H17" i="50" s="1"/>
  <c r="H18" i="50" s="1"/>
  <c r="I3" i="50"/>
  <c r="D4" i="48"/>
  <c r="D5" i="48" s="1"/>
  <c r="D10" i="48" s="1"/>
  <c r="D11" i="48" s="1"/>
  <c r="D12" i="48" s="1"/>
  <c r="D16" i="48" s="1"/>
  <c r="D17" i="48" s="1"/>
  <c r="D18" i="48" s="1"/>
  <c r="E3" i="48"/>
  <c r="C4" i="46"/>
  <c r="C5" i="46" s="1"/>
  <c r="C10" i="46" s="1"/>
  <c r="C11" i="46" s="1"/>
  <c r="C12" i="46" s="1"/>
  <c r="C16" i="46" s="1"/>
  <c r="C17" i="46" s="1"/>
  <c r="C18" i="46" s="1"/>
  <c r="D3" i="46"/>
  <c r="H3" i="49"/>
  <c r="G5" i="49"/>
  <c r="G10" i="49" s="1"/>
  <c r="G11" i="49" s="1"/>
  <c r="G12" i="49" s="1"/>
  <c r="G16" i="49" s="1"/>
  <c r="F17" i="49"/>
  <c r="F18" i="49" s="1"/>
  <c r="F43" i="76" l="1"/>
  <c r="C16" i="76"/>
  <c r="D30" i="76"/>
  <c r="H34" i="76"/>
  <c r="I5" i="50"/>
  <c r="I10" i="50" s="1"/>
  <c r="I11" i="50" s="1"/>
  <c r="I12" i="50" s="1"/>
  <c r="I16" i="50" s="1"/>
  <c r="I17" i="50" s="1"/>
  <c r="I18" i="50" s="1"/>
  <c r="J3" i="50"/>
  <c r="E4" i="48"/>
  <c r="E5" i="48" s="1"/>
  <c r="E10" i="48" s="1"/>
  <c r="E11" i="48" s="1"/>
  <c r="E12" i="48" s="1"/>
  <c r="E16" i="48" s="1"/>
  <c r="E17" i="48" s="1"/>
  <c r="E18" i="48" s="1"/>
  <c r="F3" i="48"/>
  <c r="D4" i="46"/>
  <c r="D5" i="46" s="1"/>
  <c r="D10" i="46" s="1"/>
  <c r="D11" i="46" s="1"/>
  <c r="D12" i="46" s="1"/>
  <c r="D16" i="46" s="1"/>
  <c r="D17" i="46" s="1"/>
  <c r="D18" i="46" s="1"/>
  <c r="E3" i="46"/>
  <c r="G17" i="49"/>
  <c r="G18" i="49" s="1"/>
  <c r="I3" i="49"/>
  <c r="H5" i="49"/>
  <c r="H10" i="49" s="1"/>
  <c r="H11" i="49" s="1"/>
  <c r="H12" i="49" s="1"/>
  <c r="G43" i="76" l="1"/>
  <c r="D16" i="76"/>
  <c r="E30" i="76"/>
  <c r="I34" i="76"/>
  <c r="J5" i="50"/>
  <c r="J10" i="50" s="1"/>
  <c r="J11" i="50" s="1"/>
  <c r="J12" i="50" s="1"/>
  <c r="J16" i="50" s="1"/>
  <c r="J17" i="50" s="1"/>
  <c r="J18" i="50" s="1"/>
  <c r="K3" i="50"/>
  <c r="K5" i="50" s="1"/>
  <c r="K10" i="50" s="1"/>
  <c r="K11" i="50" s="1"/>
  <c r="K12" i="50" s="1"/>
  <c r="K16" i="50" s="1"/>
  <c r="K17" i="50" s="1"/>
  <c r="K18" i="50" s="1"/>
  <c r="G3" i="48"/>
  <c r="F4" i="48"/>
  <c r="F5" i="48" s="1"/>
  <c r="F10" i="48" s="1"/>
  <c r="F11" i="48" s="1"/>
  <c r="F12" i="48" s="1"/>
  <c r="F16" i="48" s="1"/>
  <c r="F17" i="48" s="1"/>
  <c r="F18" i="48" s="1"/>
  <c r="E4" i="46"/>
  <c r="E5" i="46" s="1"/>
  <c r="E10" i="46" s="1"/>
  <c r="E11" i="46" s="1"/>
  <c r="E12" i="46" s="1"/>
  <c r="E16" i="46" s="1"/>
  <c r="E17" i="46" s="1"/>
  <c r="E18" i="46" s="1"/>
  <c r="F3" i="46"/>
  <c r="H16" i="49"/>
  <c r="H17" i="49" s="1"/>
  <c r="H18" i="49" s="1"/>
  <c r="J3" i="49"/>
  <c r="I5" i="49"/>
  <c r="I10" i="49" s="1"/>
  <c r="I11" i="49" s="1"/>
  <c r="I12" i="49" s="1"/>
  <c r="H43" i="76" l="1"/>
  <c r="E16" i="76"/>
  <c r="F30" i="76"/>
  <c r="K34" i="76"/>
  <c r="J34" i="76"/>
  <c r="H3" i="48"/>
  <c r="G4" i="48"/>
  <c r="G5" i="48" s="1"/>
  <c r="G10" i="48" s="1"/>
  <c r="G11" i="48" s="1"/>
  <c r="G12" i="48" s="1"/>
  <c r="G16" i="48" s="1"/>
  <c r="G17" i="48" s="1"/>
  <c r="G18" i="48" s="1"/>
  <c r="F4" i="46"/>
  <c r="F5" i="46" s="1"/>
  <c r="F10" i="46" s="1"/>
  <c r="F11" i="46" s="1"/>
  <c r="F12" i="46" s="1"/>
  <c r="F16" i="46" s="1"/>
  <c r="F17" i="46" s="1"/>
  <c r="F18" i="46" s="1"/>
  <c r="G3" i="46"/>
  <c r="I16" i="49"/>
  <c r="I17" i="49" s="1"/>
  <c r="I18" i="49" s="1"/>
  <c r="B5" i="44"/>
  <c r="B10" i="44" s="1"/>
  <c r="B11" i="44" s="1"/>
  <c r="B12" i="44" s="1"/>
  <c r="B16" i="44" s="1"/>
  <c r="C3" i="44"/>
  <c r="J5" i="49"/>
  <c r="J10" i="49" s="1"/>
  <c r="J11" i="49" s="1"/>
  <c r="J12" i="49" s="1"/>
  <c r="K3" i="49"/>
  <c r="K5" i="49" s="1"/>
  <c r="K10" i="49" s="1"/>
  <c r="K11" i="49" s="1"/>
  <c r="K12" i="49" s="1"/>
  <c r="I43" i="76" l="1"/>
  <c r="F16" i="76"/>
  <c r="G30" i="76"/>
  <c r="I3" i="48"/>
  <c r="H4" i="48"/>
  <c r="H5" i="48" s="1"/>
  <c r="H10" i="48" s="1"/>
  <c r="H11" i="48" s="1"/>
  <c r="H12" i="48" s="1"/>
  <c r="H16" i="48" s="1"/>
  <c r="H17" i="48" s="1"/>
  <c r="H18" i="48" s="1"/>
  <c r="G4" i="46"/>
  <c r="G5" i="46" s="1"/>
  <c r="G10" i="46" s="1"/>
  <c r="G11" i="46" s="1"/>
  <c r="G12" i="46" s="1"/>
  <c r="G16" i="46" s="1"/>
  <c r="G17" i="46" s="1"/>
  <c r="G18" i="46" s="1"/>
  <c r="H3" i="46"/>
  <c r="J16" i="49"/>
  <c r="J17" i="49" s="1"/>
  <c r="J18" i="49" s="1"/>
  <c r="K16" i="49"/>
  <c r="K17" i="49" s="1"/>
  <c r="K18" i="49" s="1"/>
  <c r="C5" i="44"/>
  <c r="C10" i="44" s="1"/>
  <c r="C11" i="44" s="1"/>
  <c r="C12" i="44" s="1"/>
  <c r="D3" i="44"/>
  <c r="B17" i="44"/>
  <c r="B18" i="44" s="1"/>
  <c r="B11" i="76" l="1"/>
  <c r="K43" i="76"/>
  <c r="J43" i="76"/>
  <c r="G16" i="76"/>
  <c r="H30" i="76"/>
  <c r="I4" i="48"/>
  <c r="I5" i="48" s="1"/>
  <c r="I10" i="48" s="1"/>
  <c r="I11" i="48" s="1"/>
  <c r="I12" i="48" s="1"/>
  <c r="I16" i="48" s="1"/>
  <c r="I17" i="48" s="1"/>
  <c r="I18" i="48" s="1"/>
  <c r="J3" i="48"/>
  <c r="H4" i="46"/>
  <c r="H5" i="46" s="1"/>
  <c r="H10" i="46" s="1"/>
  <c r="H11" i="46" s="1"/>
  <c r="H12" i="46" s="1"/>
  <c r="H16" i="46" s="1"/>
  <c r="H17" i="46" s="1"/>
  <c r="H18" i="46" s="1"/>
  <c r="I3" i="46"/>
  <c r="C16" i="44"/>
  <c r="C17" i="44" s="1"/>
  <c r="C18" i="44" s="1"/>
  <c r="D5" i="44"/>
  <c r="D10" i="44" s="1"/>
  <c r="D11" i="44" s="1"/>
  <c r="D12" i="44" s="1"/>
  <c r="E3" i="44"/>
  <c r="C11" i="76" l="1"/>
  <c r="H16" i="76"/>
  <c r="I30" i="76"/>
  <c r="J4" i="48"/>
  <c r="J5" i="48" s="1"/>
  <c r="J10" i="48" s="1"/>
  <c r="J11" i="48" s="1"/>
  <c r="J12" i="48" s="1"/>
  <c r="J16" i="48" s="1"/>
  <c r="J17" i="48" s="1"/>
  <c r="J18" i="48" s="1"/>
  <c r="K3" i="48"/>
  <c r="K4" i="48" s="1"/>
  <c r="K5" i="48" s="1"/>
  <c r="K10" i="48" s="1"/>
  <c r="K11" i="48" s="1"/>
  <c r="K12" i="48" s="1"/>
  <c r="K16" i="48" s="1"/>
  <c r="K17" i="48" s="1"/>
  <c r="K18" i="48" s="1"/>
  <c r="I4" i="46"/>
  <c r="I5" i="46" s="1"/>
  <c r="I10" i="46" s="1"/>
  <c r="I11" i="46" s="1"/>
  <c r="I12" i="46" s="1"/>
  <c r="I16" i="46" s="1"/>
  <c r="I17" i="46" s="1"/>
  <c r="I18" i="46" s="1"/>
  <c r="J3" i="46"/>
  <c r="D16" i="44"/>
  <c r="D17" i="44" s="1"/>
  <c r="D18" i="44" s="1"/>
  <c r="E5" i="44"/>
  <c r="E10" i="44" s="1"/>
  <c r="E11" i="44" s="1"/>
  <c r="E12" i="44" s="1"/>
  <c r="F3" i="44"/>
  <c r="D11" i="76" l="1"/>
  <c r="I16" i="76"/>
  <c r="K30" i="76"/>
  <c r="J30" i="76"/>
  <c r="J4" i="46"/>
  <c r="J5" i="46" s="1"/>
  <c r="J10" i="46" s="1"/>
  <c r="J11" i="46" s="1"/>
  <c r="J12" i="46" s="1"/>
  <c r="J16" i="46" s="1"/>
  <c r="J17" i="46" s="1"/>
  <c r="J18" i="46" s="1"/>
  <c r="K3" i="46"/>
  <c r="E16" i="44"/>
  <c r="E17" i="44" s="1"/>
  <c r="E18" i="44" s="1"/>
  <c r="F5" i="44"/>
  <c r="F10" i="44" s="1"/>
  <c r="F11" i="44" s="1"/>
  <c r="F12" i="44" s="1"/>
  <c r="F16" i="44" s="1"/>
  <c r="G3" i="44"/>
  <c r="B5" i="40"/>
  <c r="B10" i="40" s="1"/>
  <c r="B11" i="40" s="1"/>
  <c r="B12" i="40" s="1"/>
  <c r="B16" i="40" s="1"/>
  <c r="C3" i="40"/>
  <c r="E11" i="76" l="1"/>
  <c r="J16" i="76"/>
  <c r="K4" i="46"/>
  <c r="K5" i="46" s="1"/>
  <c r="K10" i="46" s="1"/>
  <c r="K11" i="46" s="1"/>
  <c r="K12" i="46" s="1"/>
  <c r="K16" i="46" s="1"/>
  <c r="K17" i="46" s="1"/>
  <c r="K18" i="46" s="1"/>
  <c r="F17" i="44"/>
  <c r="F18" i="44" s="1"/>
  <c r="G5" i="44"/>
  <c r="G10" i="44" s="1"/>
  <c r="G11" i="44" s="1"/>
  <c r="G12" i="44" s="1"/>
  <c r="H3" i="44"/>
  <c r="B17" i="40"/>
  <c r="B18" i="40" s="1"/>
  <c r="C5" i="40"/>
  <c r="C10" i="40" s="1"/>
  <c r="C11" i="40" s="1"/>
  <c r="C12" i="40" s="1"/>
  <c r="D3" i="40"/>
  <c r="C8" i="39"/>
  <c r="D8" i="39" s="1"/>
  <c r="E8" i="39" s="1"/>
  <c r="F8" i="39" s="1"/>
  <c r="G8" i="39" s="1"/>
  <c r="H8" i="39" s="1"/>
  <c r="I8" i="39" s="1"/>
  <c r="J8" i="39" s="1"/>
  <c r="K8" i="39" s="1"/>
  <c r="B19" i="76" l="1"/>
  <c r="F11" i="76"/>
  <c r="K16" i="76"/>
  <c r="G16" i="44"/>
  <c r="G17" i="44" s="1"/>
  <c r="G18" i="44" s="1"/>
  <c r="C16" i="40"/>
  <c r="C17" i="40" s="1"/>
  <c r="C18" i="40" s="1"/>
  <c r="H5" i="44"/>
  <c r="H10" i="44" s="1"/>
  <c r="H11" i="44" s="1"/>
  <c r="H12" i="44" s="1"/>
  <c r="I3" i="44"/>
  <c r="D5" i="40"/>
  <c r="D10" i="40" s="1"/>
  <c r="D11" i="40" s="1"/>
  <c r="D12" i="40" s="1"/>
  <c r="E3" i="40"/>
  <c r="C3" i="39"/>
  <c r="B5" i="39" s="1"/>
  <c r="B10" i="39" s="1"/>
  <c r="B11" i="39" s="1"/>
  <c r="B12" i="39" s="1"/>
  <c r="B16" i="39" s="1"/>
  <c r="B5" i="38"/>
  <c r="B10" i="38" s="1"/>
  <c r="C7" i="39"/>
  <c r="C19" i="76" l="1"/>
  <c r="G11" i="76"/>
  <c r="C5" i="39"/>
  <c r="C10" i="39" s="1"/>
  <c r="C11" i="39" s="1"/>
  <c r="C12" i="39" s="1"/>
  <c r="C16" i="39" s="1"/>
  <c r="H16" i="44"/>
  <c r="H17" i="44" s="1"/>
  <c r="H18" i="44" s="1"/>
  <c r="D16" i="40"/>
  <c r="D17" i="40" s="1"/>
  <c r="D18" i="40" s="1"/>
  <c r="I5" i="44"/>
  <c r="I10" i="44" s="1"/>
  <c r="I11" i="44" s="1"/>
  <c r="I12" i="44" s="1"/>
  <c r="J3" i="44"/>
  <c r="E5" i="40"/>
  <c r="E10" i="40" s="1"/>
  <c r="E11" i="40" s="1"/>
  <c r="E12" i="40" s="1"/>
  <c r="F3" i="40"/>
  <c r="D3" i="39"/>
  <c r="D5" i="39" s="1"/>
  <c r="B17" i="39"/>
  <c r="B18" i="39" s="1"/>
  <c r="B11" i="38"/>
  <c r="B12" i="38" s="1"/>
  <c r="B16" i="38" s="1"/>
  <c r="C3" i="38"/>
  <c r="C5" i="38" s="1"/>
  <c r="C10" i="38" s="1"/>
  <c r="D7" i="39"/>
  <c r="B8" i="76" l="1"/>
  <c r="D19" i="76"/>
  <c r="H11" i="76"/>
  <c r="I16" i="44"/>
  <c r="I17" i="44" s="1"/>
  <c r="I18" i="44" s="1"/>
  <c r="E16" i="40"/>
  <c r="E17" i="40" s="1"/>
  <c r="E18" i="40" s="1"/>
  <c r="J5" i="44"/>
  <c r="J10" i="44" s="1"/>
  <c r="J11" i="44" s="1"/>
  <c r="J12" i="44" s="1"/>
  <c r="K3" i="44"/>
  <c r="K5" i="44" s="1"/>
  <c r="K10" i="44" s="1"/>
  <c r="K11" i="44" s="1"/>
  <c r="K12" i="44" s="1"/>
  <c r="F5" i="40"/>
  <c r="F10" i="40" s="1"/>
  <c r="F11" i="40" s="1"/>
  <c r="F12" i="40" s="1"/>
  <c r="G3" i="40"/>
  <c r="D10" i="39"/>
  <c r="D11" i="39" s="1"/>
  <c r="D12" i="39" s="1"/>
  <c r="D16" i="39" s="1"/>
  <c r="E3" i="39"/>
  <c r="E5" i="39" s="1"/>
  <c r="B17" i="38"/>
  <c r="B18" i="38" s="1"/>
  <c r="C17" i="39"/>
  <c r="C18" i="39" s="1"/>
  <c r="D3" i="38"/>
  <c r="D5" i="38" s="1"/>
  <c r="D10" i="38" s="1"/>
  <c r="C11" i="38"/>
  <c r="C12" i="38" s="1"/>
  <c r="C16" i="38" s="1"/>
  <c r="E7" i="39"/>
  <c r="B5" i="37"/>
  <c r="B10" i="37" s="1"/>
  <c r="C8" i="76" l="1"/>
  <c r="B4" i="76"/>
  <c r="E19" i="76"/>
  <c r="I11" i="76"/>
  <c r="J16" i="44"/>
  <c r="J17" i="44" s="1"/>
  <c r="J18" i="44" s="1"/>
  <c r="K16" i="44"/>
  <c r="K17" i="44" s="1"/>
  <c r="K18" i="44" s="1"/>
  <c r="F16" i="40"/>
  <c r="F17" i="40" s="1"/>
  <c r="F18" i="40" s="1"/>
  <c r="G5" i="40"/>
  <c r="G10" i="40" s="1"/>
  <c r="G11" i="40" s="1"/>
  <c r="G12" i="40" s="1"/>
  <c r="H3" i="40"/>
  <c r="E10" i="39"/>
  <c r="E11" i="39" s="1"/>
  <c r="E12" i="39" s="1"/>
  <c r="E16" i="39" s="1"/>
  <c r="F3" i="39"/>
  <c r="F5" i="39" s="1"/>
  <c r="C17" i="38"/>
  <c r="C18" i="38" s="1"/>
  <c r="D17" i="39"/>
  <c r="D18" i="39" s="1"/>
  <c r="C3" i="37"/>
  <c r="C5" i="37" s="1"/>
  <c r="C10" i="37" s="1"/>
  <c r="B11" i="37"/>
  <c r="B12" i="37" s="1"/>
  <c r="B16" i="37" s="1"/>
  <c r="E3" i="38"/>
  <c r="E5" i="38" s="1"/>
  <c r="E10" i="38" s="1"/>
  <c r="D11" i="38"/>
  <c r="D12" i="38" s="1"/>
  <c r="D16" i="38" s="1"/>
  <c r="F7" i="39"/>
  <c r="D8" i="76" l="1"/>
  <c r="C4" i="76"/>
  <c r="F19" i="76"/>
  <c r="K11" i="76"/>
  <c r="J11" i="76"/>
  <c r="G16" i="40"/>
  <c r="G17" i="40" s="1"/>
  <c r="G18" i="40" s="1"/>
  <c r="H5" i="40"/>
  <c r="H10" i="40" s="1"/>
  <c r="H11" i="40" s="1"/>
  <c r="H12" i="40" s="1"/>
  <c r="I3" i="40"/>
  <c r="F10" i="39"/>
  <c r="F11" i="39" s="1"/>
  <c r="F12" i="39" s="1"/>
  <c r="F16" i="39" s="1"/>
  <c r="G3" i="39"/>
  <c r="G5" i="39" s="1"/>
  <c r="B17" i="37"/>
  <c r="B18" i="37" s="1"/>
  <c r="D17" i="38"/>
  <c r="D18" i="38" s="1"/>
  <c r="E17" i="39"/>
  <c r="E18" i="39" s="1"/>
  <c r="D3" i="37"/>
  <c r="D5" i="37" s="1"/>
  <c r="D10" i="37" s="1"/>
  <c r="C11" i="37"/>
  <c r="C12" i="37" s="1"/>
  <c r="C16" i="37" s="1"/>
  <c r="F3" i="38"/>
  <c r="F5" i="38" s="1"/>
  <c r="F10" i="38" s="1"/>
  <c r="E11" i="38"/>
  <c r="E12" i="38" s="1"/>
  <c r="E16" i="38" s="1"/>
  <c r="G7" i="39"/>
  <c r="E8" i="76" l="1"/>
  <c r="D4" i="76"/>
  <c r="B35" i="76"/>
  <c r="G19" i="76"/>
  <c r="H16" i="40"/>
  <c r="H17" i="40" s="1"/>
  <c r="H18" i="40" s="1"/>
  <c r="I5" i="40"/>
  <c r="I10" i="40" s="1"/>
  <c r="I11" i="40" s="1"/>
  <c r="I12" i="40" s="1"/>
  <c r="J3" i="40"/>
  <c r="G10" i="39"/>
  <c r="G11" i="39" s="1"/>
  <c r="G12" i="39" s="1"/>
  <c r="G16" i="39" s="1"/>
  <c r="H3" i="39"/>
  <c r="H5" i="39" s="1"/>
  <c r="C17" i="37"/>
  <c r="C18" i="37" s="1"/>
  <c r="E17" i="38"/>
  <c r="E18" i="38" s="1"/>
  <c r="F17" i="39"/>
  <c r="F18" i="39" s="1"/>
  <c r="E3" i="37"/>
  <c r="E5" i="37" s="1"/>
  <c r="E10" i="37" s="1"/>
  <c r="D11" i="37"/>
  <c r="D12" i="37" s="1"/>
  <c r="D16" i="37" s="1"/>
  <c r="G3" i="38"/>
  <c r="G5" i="38" s="1"/>
  <c r="G10" i="38" s="1"/>
  <c r="F11" i="38"/>
  <c r="F12" i="38" s="1"/>
  <c r="F16" i="38" s="1"/>
  <c r="H7" i="39"/>
  <c r="F8" i="76" l="1"/>
  <c r="E4" i="76"/>
  <c r="C35" i="76"/>
  <c r="H19" i="76"/>
  <c r="B4" i="35"/>
  <c r="B5" i="35" s="1"/>
  <c r="B10" i="35" s="1"/>
  <c r="B11" i="35" s="1"/>
  <c r="B12" i="35" s="1"/>
  <c r="B16" i="35" s="1"/>
  <c r="B17" i="35" s="1"/>
  <c r="B18" i="35" s="1"/>
  <c r="C3" i="35"/>
  <c r="I16" i="40"/>
  <c r="I17" i="40" s="1"/>
  <c r="I18" i="40" s="1"/>
  <c r="J5" i="40"/>
  <c r="J10" i="40" s="1"/>
  <c r="J11" i="40" s="1"/>
  <c r="J12" i="40" s="1"/>
  <c r="K3" i="40"/>
  <c r="K5" i="40" s="1"/>
  <c r="K10" i="40" s="1"/>
  <c r="K11" i="40" s="1"/>
  <c r="K12" i="40" s="1"/>
  <c r="H10" i="39"/>
  <c r="H11" i="39" s="1"/>
  <c r="H12" i="39" s="1"/>
  <c r="H16" i="39" s="1"/>
  <c r="I3" i="39"/>
  <c r="I5" i="39" s="1"/>
  <c r="C7" i="33"/>
  <c r="D17" i="37"/>
  <c r="D18" i="37" s="1"/>
  <c r="F17" i="38"/>
  <c r="F18" i="38" s="1"/>
  <c r="G17" i="39"/>
  <c r="G18" i="39" s="1"/>
  <c r="E11" i="37"/>
  <c r="E12" i="37" s="1"/>
  <c r="E16" i="37" s="1"/>
  <c r="F3" i="37"/>
  <c r="F5" i="37" s="1"/>
  <c r="F10" i="37" s="1"/>
  <c r="G11" i="38"/>
  <c r="G12" i="38" s="1"/>
  <c r="G16" i="38" s="1"/>
  <c r="H3" i="38"/>
  <c r="H5" i="38" s="1"/>
  <c r="H10" i="38" s="1"/>
  <c r="I7" i="39"/>
  <c r="G8" i="76" l="1"/>
  <c r="F4" i="76"/>
  <c r="D35" i="76"/>
  <c r="I19" i="76"/>
  <c r="B45" i="76"/>
  <c r="C4" i="35"/>
  <c r="C5" i="35" s="1"/>
  <c r="C10" i="35" s="1"/>
  <c r="C11" i="35" s="1"/>
  <c r="C12" i="35" s="1"/>
  <c r="C16" i="35" s="1"/>
  <c r="C17" i="35" s="1"/>
  <c r="C18" i="35" s="1"/>
  <c r="D3" i="35"/>
  <c r="K16" i="40"/>
  <c r="K17" i="40" s="1"/>
  <c r="K18" i="40" s="1"/>
  <c r="J16" i="40"/>
  <c r="J17" i="40" s="1"/>
  <c r="J18" i="40" s="1"/>
  <c r="I10" i="39"/>
  <c r="I11" i="39" s="1"/>
  <c r="I12" i="39" s="1"/>
  <c r="I16" i="39" s="1"/>
  <c r="J3" i="39"/>
  <c r="J5" i="39" s="1"/>
  <c r="B11" i="33"/>
  <c r="B12" i="33" s="1"/>
  <c r="E17" i="37"/>
  <c r="E18" i="37" s="1"/>
  <c r="G17" i="38"/>
  <c r="G18" i="38" s="1"/>
  <c r="H17" i="39"/>
  <c r="H18" i="39" s="1"/>
  <c r="F11" i="37"/>
  <c r="F12" i="37" s="1"/>
  <c r="F16" i="37" s="1"/>
  <c r="G3" i="37"/>
  <c r="G5" i="37" s="1"/>
  <c r="G10" i="37" s="1"/>
  <c r="D7" i="33"/>
  <c r="C11" i="33"/>
  <c r="C12" i="33" s="1"/>
  <c r="C16" i="33" s="1"/>
  <c r="H11" i="38"/>
  <c r="H12" i="38" s="1"/>
  <c r="H16" i="38" s="1"/>
  <c r="I3" i="38"/>
  <c r="I5" i="38" s="1"/>
  <c r="I10" i="38" s="1"/>
  <c r="J7" i="39"/>
  <c r="H8" i="76" l="1"/>
  <c r="G4" i="76"/>
  <c r="E35" i="76"/>
  <c r="J19" i="76"/>
  <c r="K19" i="76"/>
  <c r="C45" i="76"/>
  <c r="D4" i="35"/>
  <c r="D5" i="35" s="1"/>
  <c r="D10" i="35" s="1"/>
  <c r="D11" i="35" s="1"/>
  <c r="D12" i="35" s="1"/>
  <c r="D16" i="35" s="1"/>
  <c r="D17" i="35" s="1"/>
  <c r="D18" i="35" s="1"/>
  <c r="E3" i="35"/>
  <c r="B16" i="33"/>
  <c r="B17" i="33" s="1"/>
  <c r="B18" i="33" s="1"/>
  <c r="J10" i="39"/>
  <c r="J11" i="39" s="1"/>
  <c r="J12" i="39" s="1"/>
  <c r="J16" i="39" s="1"/>
  <c r="K3" i="39"/>
  <c r="C17" i="33"/>
  <c r="C18" i="33" s="1"/>
  <c r="F17" i="37"/>
  <c r="F18" i="37" s="1"/>
  <c r="H17" i="38"/>
  <c r="H18" i="38" s="1"/>
  <c r="I17" i="39"/>
  <c r="I18" i="39" s="1"/>
  <c r="H3" i="37"/>
  <c r="H5" i="37" s="1"/>
  <c r="H10" i="37" s="1"/>
  <c r="G11" i="37"/>
  <c r="G12" i="37" s="1"/>
  <c r="G16" i="37" s="1"/>
  <c r="E7" i="33"/>
  <c r="D11" i="33"/>
  <c r="D12" i="33" s="1"/>
  <c r="D16" i="33" s="1"/>
  <c r="J3" i="38"/>
  <c r="J5" i="38" s="1"/>
  <c r="J10" i="38" s="1"/>
  <c r="I11" i="38"/>
  <c r="I12" i="38" s="1"/>
  <c r="I16" i="38" s="1"/>
  <c r="K7" i="39"/>
  <c r="I8" i="76" l="1"/>
  <c r="H4" i="76"/>
  <c r="F35" i="76"/>
  <c r="C7" i="76"/>
  <c r="B7" i="76"/>
  <c r="D45" i="76"/>
  <c r="E4" i="35"/>
  <c r="E5" i="35" s="1"/>
  <c r="E10" i="35" s="1"/>
  <c r="E11" i="35" s="1"/>
  <c r="E12" i="35" s="1"/>
  <c r="E16" i="35" s="1"/>
  <c r="E17" i="35" s="1"/>
  <c r="E18" i="35" s="1"/>
  <c r="F3" i="35"/>
  <c r="K5" i="39"/>
  <c r="K10" i="39" s="1"/>
  <c r="K11" i="39" s="1"/>
  <c r="K12" i="39" s="1"/>
  <c r="K16" i="39" s="1"/>
  <c r="K17" i="39" s="1"/>
  <c r="K18" i="39" s="1"/>
  <c r="D17" i="33"/>
  <c r="D18" i="33" s="1"/>
  <c r="G17" i="37"/>
  <c r="G18" i="37" s="1"/>
  <c r="I17" i="38"/>
  <c r="I18" i="38" s="1"/>
  <c r="J17" i="39"/>
  <c r="J18" i="39" s="1"/>
  <c r="H11" i="37"/>
  <c r="H12" i="37" s="1"/>
  <c r="H16" i="37" s="1"/>
  <c r="I3" i="37"/>
  <c r="I5" i="37" s="1"/>
  <c r="I10" i="37" s="1"/>
  <c r="F7" i="33"/>
  <c r="E11" i="33"/>
  <c r="E12" i="33" s="1"/>
  <c r="E16" i="33" s="1"/>
  <c r="K3" i="38"/>
  <c r="J11" i="38"/>
  <c r="J12" i="38" s="1"/>
  <c r="J16" i="38" s="1"/>
  <c r="C7" i="31" l="1"/>
  <c r="J8" i="76"/>
  <c r="I4" i="76"/>
  <c r="G35" i="76"/>
  <c r="D7" i="76"/>
  <c r="K8" i="76"/>
  <c r="E45" i="76"/>
  <c r="F4" i="35"/>
  <c r="F5" i="35" s="1"/>
  <c r="F10" i="35" s="1"/>
  <c r="F11" i="35" s="1"/>
  <c r="F12" i="35" s="1"/>
  <c r="F16" i="35" s="1"/>
  <c r="F17" i="35" s="1"/>
  <c r="F18" i="35" s="1"/>
  <c r="G3" i="35"/>
  <c r="E17" i="33"/>
  <c r="E18" i="33" s="1"/>
  <c r="H17" i="37"/>
  <c r="H18" i="37" s="1"/>
  <c r="J17" i="38"/>
  <c r="J18" i="38" s="1"/>
  <c r="K5" i="38"/>
  <c r="K10" i="38" s="1"/>
  <c r="K11" i="38" s="1"/>
  <c r="K12" i="38" s="1"/>
  <c r="K16" i="38" s="1"/>
  <c r="J3" i="37"/>
  <c r="J5" i="37" s="1"/>
  <c r="J10" i="37" s="1"/>
  <c r="I11" i="37"/>
  <c r="I12" i="37" s="1"/>
  <c r="I16" i="37" s="1"/>
  <c r="G7" i="33"/>
  <c r="F11" i="33"/>
  <c r="F12" i="33" s="1"/>
  <c r="F16" i="33" s="1"/>
  <c r="J4" i="76" l="1"/>
  <c r="H35" i="76"/>
  <c r="E7" i="76"/>
  <c r="F45" i="76"/>
  <c r="G4" i="35"/>
  <c r="G5" i="35" s="1"/>
  <c r="G10" i="35" s="1"/>
  <c r="G11" i="35" s="1"/>
  <c r="G12" i="35" s="1"/>
  <c r="G16" i="35" s="1"/>
  <c r="G17" i="35" s="1"/>
  <c r="G18" i="35" s="1"/>
  <c r="H3" i="35"/>
  <c r="H4" i="35" s="1"/>
  <c r="F17" i="33"/>
  <c r="F18" i="33" s="1"/>
  <c r="I17" i="37"/>
  <c r="I18" i="37" s="1"/>
  <c r="K17" i="38"/>
  <c r="K18" i="38" s="1"/>
  <c r="K3" i="37"/>
  <c r="J11" i="37"/>
  <c r="J12" i="37" s="1"/>
  <c r="J16" i="37" s="1"/>
  <c r="D7" i="31"/>
  <c r="H7" i="33"/>
  <c r="G11" i="33"/>
  <c r="G12" i="33" s="1"/>
  <c r="G16" i="33" s="1"/>
  <c r="K4" i="76" l="1"/>
  <c r="I35" i="76"/>
  <c r="F7" i="76"/>
  <c r="G45" i="76"/>
  <c r="I3" i="35"/>
  <c r="H5" i="35"/>
  <c r="H10" i="35" s="1"/>
  <c r="H11" i="35" s="1"/>
  <c r="H12" i="35" s="1"/>
  <c r="H16" i="35" s="1"/>
  <c r="H17" i="35" s="1"/>
  <c r="H18" i="35" s="1"/>
  <c r="C3" i="31"/>
  <c r="B5" i="31"/>
  <c r="B10" i="31" s="1"/>
  <c r="B11" i="31" s="1"/>
  <c r="B12" i="31" s="1"/>
  <c r="G17" i="33"/>
  <c r="G18" i="33" s="1"/>
  <c r="J17" i="37"/>
  <c r="J18" i="37" s="1"/>
  <c r="K5" i="37"/>
  <c r="K10" i="37" s="1"/>
  <c r="K11" i="37" s="1"/>
  <c r="K12" i="37" s="1"/>
  <c r="K16" i="37" s="1"/>
  <c r="D11" i="29"/>
  <c r="D12" i="29" s="1"/>
  <c r="D16" i="29" s="1"/>
  <c r="E7" i="31"/>
  <c r="I7" i="33"/>
  <c r="H11" i="33"/>
  <c r="H12" i="33" s="1"/>
  <c r="H16" i="33" s="1"/>
  <c r="J35" i="76" l="1"/>
  <c r="G7" i="76"/>
  <c r="H45" i="76"/>
  <c r="I4" i="35"/>
  <c r="I5" i="35" s="1"/>
  <c r="I10" i="35" s="1"/>
  <c r="I11" i="35" s="1"/>
  <c r="I12" i="35" s="1"/>
  <c r="I16" i="35" s="1"/>
  <c r="I17" i="35" s="1"/>
  <c r="I18" i="35" s="1"/>
  <c r="J3" i="35"/>
  <c r="B16" i="31"/>
  <c r="B17" i="31" s="1"/>
  <c r="B18" i="31" s="1"/>
  <c r="C5" i="31"/>
  <c r="C10" i="31" s="1"/>
  <c r="C11" i="31" s="1"/>
  <c r="C12" i="31" s="1"/>
  <c r="D3" i="31"/>
  <c r="D17" i="29"/>
  <c r="D18" i="29" s="1"/>
  <c r="H17" i="33"/>
  <c r="H18" i="33" s="1"/>
  <c r="K17" i="37"/>
  <c r="K18" i="37" s="1"/>
  <c r="E11" i="29"/>
  <c r="E12" i="29" s="1"/>
  <c r="E16" i="29" s="1"/>
  <c r="F7" i="31"/>
  <c r="J7" i="33"/>
  <c r="I11" i="33"/>
  <c r="I12" i="33" s="1"/>
  <c r="I16" i="33" s="1"/>
  <c r="K35" i="76" l="1"/>
  <c r="H7" i="76"/>
  <c r="D5" i="76"/>
  <c r="B12" i="76"/>
  <c r="I45" i="76"/>
  <c r="J4" i="35"/>
  <c r="J5" i="35" s="1"/>
  <c r="J10" i="35" s="1"/>
  <c r="J11" i="35" s="1"/>
  <c r="J12" i="35" s="1"/>
  <c r="J16" i="35" s="1"/>
  <c r="J17" i="35" s="1"/>
  <c r="J18" i="35" s="1"/>
  <c r="K3" i="35"/>
  <c r="C16" i="31"/>
  <c r="C17" i="31" s="1"/>
  <c r="C18" i="31" s="1"/>
  <c r="D5" i="31"/>
  <c r="D10" i="31" s="1"/>
  <c r="D11" i="31" s="1"/>
  <c r="D12" i="31" s="1"/>
  <c r="E3" i="31"/>
  <c r="E17" i="29"/>
  <c r="E18" i="29" s="1"/>
  <c r="I17" i="33"/>
  <c r="I18" i="33" s="1"/>
  <c r="F11" i="29"/>
  <c r="F12" i="29" s="1"/>
  <c r="F16" i="29" s="1"/>
  <c r="G7" i="31"/>
  <c r="K7" i="33"/>
  <c r="K11" i="33" s="1"/>
  <c r="K12" i="33" s="1"/>
  <c r="K16" i="33" s="1"/>
  <c r="J11" i="33"/>
  <c r="J12" i="33" s="1"/>
  <c r="J16" i="33" s="1"/>
  <c r="I7" i="76" l="1"/>
  <c r="E5" i="76"/>
  <c r="C12" i="76"/>
  <c r="J45" i="76"/>
  <c r="K4" i="35"/>
  <c r="K5" i="35" s="1"/>
  <c r="K10" i="35" s="1"/>
  <c r="K11" i="35" s="1"/>
  <c r="K12" i="35" s="1"/>
  <c r="K16" i="35" s="1"/>
  <c r="K17" i="35" s="1"/>
  <c r="K18" i="35" s="1"/>
  <c r="D16" i="31"/>
  <c r="D17" i="31" s="1"/>
  <c r="D18" i="31" s="1"/>
  <c r="F3" i="31"/>
  <c r="E5" i="31"/>
  <c r="E10" i="31" s="1"/>
  <c r="E11" i="31" s="1"/>
  <c r="E12" i="31" s="1"/>
  <c r="F17" i="29"/>
  <c r="F18" i="29" s="1"/>
  <c r="J17" i="33"/>
  <c r="J18" i="33" s="1"/>
  <c r="K17" i="33"/>
  <c r="K18" i="33" s="1"/>
  <c r="G11" i="29"/>
  <c r="G12" i="29" s="1"/>
  <c r="G16" i="29" s="1"/>
  <c r="H7" i="31"/>
  <c r="K7" i="76" l="1"/>
  <c r="J7" i="76"/>
  <c r="F5" i="76"/>
  <c r="D12" i="76"/>
  <c r="K45" i="76"/>
  <c r="E16" i="31"/>
  <c r="E17" i="31" s="1"/>
  <c r="E18" i="31" s="1"/>
  <c r="F5" i="31"/>
  <c r="F10" i="31" s="1"/>
  <c r="F11" i="31" s="1"/>
  <c r="F12" i="31" s="1"/>
  <c r="G3" i="31"/>
  <c r="G17" i="29"/>
  <c r="G18" i="29" s="1"/>
  <c r="H11" i="29"/>
  <c r="H12" i="29" s="1"/>
  <c r="H16" i="29" s="1"/>
  <c r="I7" i="31"/>
  <c r="G5" i="76" l="1"/>
  <c r="E12" i="76"/>
  <c r="F16" i="31"/>
  <c r="F17" i="31" s="1"/>
  <c r="F18" i="31" s="1"/>
  <c r="H3" i="31"/>
  <c r="G5" i="31"/>
  <c r="G10" i="31" s="1"/>
  <c r="G11" i="31" s="1"/>
  <c r="G12" i="31" s="1"/>
  <c r="H17" i="29"/>
  <c r="H18" i="29" s="1"/>
  <c r="I11" i="29"/>
  <c r="I12" i="29" s="1"/>
  <c r="I16" i="29" s="1"/>
  <c r="J7" i="31"/>
  <c r="H5" i="76" l="1"/>
  <c r="F12" i="76"/>
  <c r="G16" i="31"/>
  <c r="G17" i="31" s="1"/>
  <c r="G18" i="31" s="1"/>
  <c r="I3" i="31"/>
  <c r="H5" i="31"/>
  <c r="H10" i="31" s="1"/>
  <c r="H11" i="31" s="1"/>
  <c r="H12" i="31" s="1"/>
  <c r="I17" i="29"/>
  <c r="I18" i="29" s="1"/>
  <c r="K11" i="29"/>
  <c r="K12" i="29" s="1"/>
  <c r="K16" i="29" s="1"/>
  <c r="J11" i="29"/>
  <c r="J12" i="29" s="1"/>
  <c r="J16" i="29" s="1"/>
  <c r="K7" i="31"/>
  <c r="I5" i="76" l="1"/>
  <c r="G12" i="76"/>
  <c r="H16" i="31"/>
  <c r="H17" i="31" s="1"/>
  <c r="H18" i="31" s="1"/>
  <c r="I5" i="31"/>
  <c r="I10" i="31" s="1"/>
  <c r="I11" i="31" s="1"/>
  <c r="I12" i="31" s="1"/>
  <c r="J3" i="31"/>
  <c r="J17" i="29"/>
  <c r="J18" i="29" s="1"/>
  <c r="K17" i="29"/>
  <c r="K18" i="29" s="1"/>
  <c r="K5" i="76" l="1"/>
  <c r="J5" i="76"/>
  <c r="H12" i="76"/>
  <c r="I16" i="31"/>
  <c r="I17" i="31" s="1"/>
  <c r="I18" i="31" s="1"/>
  <c r="J5" i="31"/>
  <c r="J10" i="31" s="1"/>
  <c r="J11" i="31" s="1"/>
  <c r="J12" i="31" s="1"/>
  <c r="K3" i="31"/>
  <c r="I12" i="76" l="1"/>
  <c r="J16" i="31"/>
  <c r="J17" i="31" s="1"/>
  <c r="J18" i="31" s="1"/>
  <c r="K5" i="31"/>
  <c r="K10" i="31" s="1"/>
  <c r="K11" i="31" s="1"/>
  <c r="K12" i="31" s="1"/>
  <c r="J12" i="76" l="1"/>
  <c r="K16" i="31"/>
  <c r="K17" i="31" s="1"/>
  <c r="K18" i="31" s="1"/>
  <c r="K12" i="76" l="1"/>
  <c r="C3" i="43" l="1"/>
  <c r="C5" i="43" s="1"/>
  <c r="C10" i="43" s="1"/>
  <c r="C11" i="43" l="1"/>
  <c r="C12" i="43" s="1"/>
  <c r="C16" i="43" s="1"/>
  <c r="D3" i="43"/>
  <c r="D5" i="43" s="1"/>
  <c r="D10" i="43" s="1"/>
  <c r="B11" i="43"/>
  <c r="B12" i="43" s="1"/>
  <c r="B16" i="43" s="1"/>
  <c r="B17" i="43" l="1"/>
  <c r="B18" i="43" s="1"/>
  <c r="C17" i="43"/>
  <c r="C18" i="43" s="1"/>
  <c r="D11" i="43"/>
  <c r="D12" i="43" s="1"/>
  <c r="D16" i="43" s="1"/>
  <c r="E3" i="43"/>
  <c r="E5" i="43" s="1"/>
  <c r="E10" i="43" s="1"/>
  <c r="C29" i="76" l="1"/>
  <c r="B29" i="76"/>
  <c r="D17" i="43"/>
  <c r="D18" i="43" s="1"/>
  <c r="E11" i="43"/>
  <c r="E12" i="43" s="1"/>
  <c r="E16" i="43" s="1"/>
  <c r="F3" i="43"/>
  <c r="F5" i="43" s="1"/>
  <c r="F10" i="43" s="1"/>
  <c r="D29" i="76" l="1"/>
  <c r="E17" i="43"/>
  <c r="E18" i="43" s="1"/>
  <c r="G3" i="43"/>
  <c r="G5" i="43" s="1"/>
  <c r="G10" i="43" s="1"/>
  <c r="F11" i="43"/>
  <c r="F12" i="43" s="1"/>
  <c r="F16" i="43" s="1"/>
  <c r="E29" i="76" l="1"/>
  <c r="F17" i="43"/>
  <c r="F18" i="43" s="1"/>
  <c r="H3" i="43"/>
  <c r="H5" i="43" s="1"/>
  <c r="H10" i="43" s="1"/>
  <c r="G11" i="43"/>
  <c r="G12" i="43" s="1"/>
  <c r="G16" i="43" s="1"/>
  <c r="F29" i="76" l="1"/>
  <c r="G17" i="43"/>
  <c r="G18" i="43" s="1"/>
  <c r="H11" i="43"/>
  <c r="H12" i="43" s="1"/>
  <c r="H16" i="43" s="1"/>
  <c r="I3" i="43"/>
  <c r="I5" i="43" s="1"/>
  <c r="I10" i="43" s="1"/>
  <c r="G29" i="76" l="1"/>
  <c r="H17" i="43"/>
  <c r="H18" i="43" s="1"/>
  <c r="I11" i="43"/>
  <c r="I12" i="43" s="1"/>
  <c r="I16" i="43" s="1"/>
  <c r="J3" i="43"/>
  <c r="J5" i="43" s="1"/>
  <c r="J10" i="43" s="1"/>
  <c r="H29" i="76" l="1"/>
  <c r="I17" i="43"/>
  <c r="I18" i="43" s="1"/>
  <c r="K3" i="43"/>
  <c r="J11" i="43"/>
  <c r="J12" i="43" s="1"/>
  <c r="J16" i="43" s="1"/>
  <c r="I29" i="76" l="1"/>
  <c r="J17" i="43"/>
  <c r="J18" i="43" s="1"/>
  <c r="K5" i="43"/>
  <c r="K10" i="43" s="1"/>
  <c r="K11" i="43" s="1"/>
  <c r="K12" i="43" s="1"/>
  <c r="K16" i="43" s="1"/>
  <c r="J29" i="76" l="1"/>
  <c r="K17" i="43"/>
  <c r="K18" i="43" s="1"/>
  <c r="B12" i="8"/>
  <c r="K29" i="76" l="1"/>
  <c r="B16" i="8"/>
  <c r="B17" i="8" s="1"/>
  <c r="B18" i="8" s="1"/>
  <c r="B12" i="14"/>
  <c r="B6" i="76" l="1"/>
  <c r="B16" i="14"/>
  <c r="B17" i="14" s="1"/>
  <c r="B18" i="14" s="1"/>
  <c r="B42" i="76" l="1"/>
  <c r="F12" i="14"/>
  <c r="F16" i="14" s="1"/>
  <c r="F17" i="14" s="1"/>
  <c r="F18" i="14" s="1"/>
  <c r="G12" i="14"/>
  <c r="H6" i="14"/>
  <c r="F42" i="76" l="1"/>
  <c r="G16" i="14"/>
  <c r="G17" i="14" s="1"/>
  <c r="G18" i="14" s="1"/>
  <c r="H11" i="14"/>
  <c r="G42" i="76" l="1"/>
  <c r="H12" i="14"/>
  <c r="H16" i="14" l="1"/>
  <c r="H17" i="14" s="1"/>
  <c r="H18" i="14" s="1"/>
  <c r="H42" i="76" l="1"/>
  <c r="C12" i="14" l="1"/>
  <c r="C16" i="14" l="1"/>
  <c r="C17" i="14" s="1"/>
  <c r="C18" i="14" s="1"/>
  <c r="C42" i="76" l="1"/>
  <c r="D12" i="14" l="1"/>
  <c r="D16" i="14" l="1"/>
  <c r="D17" i="14" s="1"/>
  <c r="D18" i="14" s="1"/>
  <c r="D42" i="76" l="1"/>
</calcChain>
</file>

<file path=xl/sharedStrings.xml><?xml version="1.0" encoding="utf-8"?>
<sst xmlns="http://schemas.openxmlformats.org/spreadsheetml/2006/main" count="2495" uniqueCount="281">
  <si>
    <t>Modesto Irrigation District</t>
  </si>
  <si>
    <t>SCE</t>
  </si>
  <si>
    <t>Pasadena</t>
  </si>
  <si>
    <t>Sacramento Municipal Utility District (SMUD)</t>
  </si>
  <si>
    <t>City of Anaheim</t>
  </si>
  <si>
    <t>PacifiCorp</t>
  </si>
  <si>
    <t>Imperial Irrigation District</t>
  </si>
  <si>
    <t>LADWP</t>
  </si>
  <si>
    <t>SMUD</t>
  </si>
  <si>
    <t>Anaheim</t>
  </si>
  <si>
    <t>Silicon Valley Power</t>
  </si>
  <si>
    <t>Riverside</t>
  </si>
  <si>
    <t xml:space="preserve">PacifiCorp  </t>
  </si>
  <si>
    <t>Alameda Municipal Power</t>
  </si>
  <si>
    <t>City of Cerritos</t>
  </si>
  <si>
    <t>City of Industry</t>
  </si>
  <si>
    <t>Eastside Power Authority</t>
  </si>
  <si>
    <t>Gridley Electric Utility</t>
  </si>
  <si>
    <t>Lassen Municipal Utility District</t>
  </si>
  <si>
    <t>City of Lompoc</t>
  </si>
  <si>
    <t>City of Needles</t>
  </si>
  <si>
    <t>Port of Oakland</t>
  </si>
  <si>
    <t>Redding Electric Utility</t>
  </si>
  <si>
    <t>City of Riverside Public Utilities</t>
  </si>
  <si>
    <t>Silicon Valley Power (SVP), City of Santa Clara</t>
  </si>
  <si>
    <t>Truckee Donner Public Utilities District</t>
  </si>
  <si>
    <t>City of Vernon, Vernon Gas &amp; Electric</t>
  </si>
  <si>
    <t>WAPA - Sierra Nevada Region</t>
  </si>
  <si>
    <t>Pittsburg Power Company</t>
  </si>
  <si>
    <t>Liberty Utilities (CalPeco Electric) LLC</t>
  </si>
  <si>
    <t>Valley Electric Association, Inc.</t>
  </si>
  <si>
    <t>Anza Electric Cooperative, Inc.</t>
  </si>
  <si>
    <t>Surprise Valley Electrification Corp.</t>
  </si>
  <si>
    <t>Turlock Irrigation District</t>
  </si>
  <si>
    <t>Pasadena Water and Power</t>
  </si>
  <si>
    <t>City of Vernon</t>
  </si>
  <si>
    <t>Form 1.1c - Statewide</t>
  </si>
  <si>
    <t>Electricity Deliveries to End Users by Agency (GWh)</t>
  </si>
  <si>
    <t>Planning Area</t>
  </si>
  <si>
    <t>Agency</t>
  </si>
  <si>
    <t>Average Annual Growth 2014 - 2026</t>
  </si>
  <si>
    <t>PGE</t>
  </si>
  <si>
    <t>Calaveras Public Power Agency</t>
  </si>
  <si>
    <t>City of Alameda</t>
  </si>
  <si>
    <t>City of Biggs</t>
  </si>
  <si>
    <t>City of Gridley</t>
  </si>
  <si>
    <t>City of Healdsburg</t>
  </si>
  <si>
    <t>City of Hercules</t>
  </si>
  <si>
    <t>City of Lodi</t>
  </si>
  <si>
    <t>City of Palo Alto</t>
  </si>
  <si>
    <t>City of San Francisco</t>
  </si>
  <si>
    <t>City of Ukiah</t>
  </si>
  <si>
    <t>Department of Water Resources (North)</t>
  </si>
  <si>
    <t>Island Energy/Pittsburg</t>
  </si>
  <si>
    <t>Pacific Gas and Electric Company (Bundled)</t>
  </si>
  <si>
    <t>Pacific Gas and Electric Company (Direct Access)</t>
  </si>
  <si>
    <t>Pacific Gas and Electric Company (Marin Clean Energy CCA)</t>
  </si>
  <si>
    <t>Pacific Gas and Electric Company (Sonoma Clean Power CCA)</t>
  </si>
  <si>
    <t>Plumas-Sierra Rural Electric Cooperation</t>
  </si>
  <si>
    <t>Port of Stockton</t>
  </si>
  <si>
    <t>Tuolumne County Public Power Agency</t>
  </si>
  <si>
    <t>WAPA (CAISO)</t>
  </si>
  <si>
    <t>PGE Total</t>
  </si>
  <si>
    <t>Azusa Light &amp; Water</t>
  </si>
  <si>
    <t>Bear Valley Electric Service</t>
  </si>
  <si>
    <t>City of Banning</t>
  </si>
  <si>
    <t>City of Colton</t>
  </si>
  <si>
    <t>City of Corona</t>
  </si>
  <si>
    <t>City of Pasadena</t>
  </si>
  <si>
    <t>City of Rancho Cucamonga</t>
  </si>
  <si>
    <t>City of Riverside</t>
  </si>
  <si>
    <t>Department of Water Resources (South)</t>
  </si>
  <si>
    <t>Metropolitan Water District</t>
  </si>
  <si>
    <t>Moreno Valley Utilities</t>
  </si>
  <si>
    <t>Southern California Edison Company (Bundled)</t>
  </si>
  <si>
    <t>Southern California Edison Company (Direct Access)</t>
  </si>
  <si>
    <t>Victorville Municipal</t>
  </si>
  <si>
    <t>SCE Total</t>
  </si>
  <si>
    <t>SDGE</t>
  </si>
  <si>
    <t>San Diego Gas and Electric Company (Bundled)</t>
  </si>
  <si>
    <t>San Diego Gas and Electric Company (Direct Access)</t>
  </si>
  <si>
    <t>SDGE Total</t>
  </si>
  <si>
    <t>Northern California Non-CAISO</t>
  </si>
  <si>
    <t>City of Redding</t>
  </si>
  <si>
    <t>City of Roseville</t>
  </si>
  <si>
    <t>City of Shasta Lake</t>
  </si>
  <si>
    <t>Merced Irrigation District</t>
  </si>
  <si>
    <t>Sacramento Municipal Utility District</t>
  </si>
  <si>
    <t>WAPA (BANC)</t>
  </si>
  <si>
    <t>Northern California Non-CAISO Total</t>
  </si>
  <si>
    <t>Los Angeles Department of Water and Power</t>
  </si>
  <si>
    <t>BUGL</t>
  </si>
  <si>
    <t>City of Burbank</t>
  </si>
  <si>
    <t>City of Glendale</t>
  </si>
  <si>
    <t>BUGL Total</t>
  </si>
  <si>
    <t>IID</t>
  </si>
  <si>
    <t>VEA</t>
  </si>
  <si>
    <t>OTHER</t>
  </si>
  <si>
    <t>Kirkwood Meadows Public Utility District</t>
  </si>
  <si>
    <t>Surprise Valley Electrification Corporation</t>
  </si>
  <si>
    <t>Truckee-Donner Public Utility District</t>
  </si>
  <si>
    <t>OTHER Total</t>
  </si>
  <si>
    <t>Statewide Total</t>
  </si>
  <si>
    <t>Total Pumping Load</t>
  </si>
  <si>
    <t>Total Statewide Retail Deliveries excluding pumping</t>
  </si>
  <si>
    <t>City of Victorville</t>
  </si>
  <si>
    <t>Kirkwood Meadows PUD</t>
  </si>
  <si>
    <t>Vernon</t>
  </si>
  <si>
    <t>Burbank</t>
  </si>
  <si>
    <t>Glendale</t>
  </si>
  <si>
    <t>Redding</t>
  </si>
  <si>
    <t>Roseville</t>
  </si>
  <si>
    <t>Merced</t>
  </si>
  <si>
    <t>CCSF</t>
  </si>
  <si>
    <t>Form 1.5a - Statewide</t>
  </si>
  <si>
    <t>Net Energy for Load by Agency and Balancing Authority (GWh)</t>
  </si>
  <si>
    <t>Balancing Authority</t>
  </si>
  <si>
    <t>NCPA - Greater Bay Area</t>
  </si>
  <si>
    <t>Other NP15 LSEs - Bay Area</t>
  </si>
  <si>
    <t>PG&amp;E Service Area - Greater Bay Area</t>
  </si>
  <si>
    <t>Greater Bay Area Subtotal</t>
  </si>
  <si>
    <t>CDWR-N</t>
  </si>
  <si>
    <t>NCPA - Non Bay Area</t>
  </si>
  <si>
    <t>Other NP15 LSEs - Non Bay Area</t>
  </si>
  <si>
    <t>PG&amp;E Service Area - Non Bay Area</t>
  </si>
  <si>
    <t>Total North of Path 15</t>
  </si>
  <si>
    <t>CDWR-ZP26</t>
  </si>
  <si>
    <t>PG&amp;E Service Area - ZP26</t>
  </si>
  <si>
    <t>Total Zone Path 26</t>
  </si>
  <si>
    <t>Total Valley</t>
  </si>
  <si>
    <t>Total North of Path 26</t>
  </si>
  <si>
    <t>Total Turlock Irrigation District Control Area</t>
  </si>
  <si>
    <t>Total BANC Control Area</t>
  </si>
  <si>
    <t>MWD</t>
  </si>
  <si>
    <t>Other SP15 LSEs - LA Basin</t>
  </si>
  <si>
    <t>SCE Service Area - LA Basin</t>
  </si>
  <si>
    <t>LA Basin Subtotal</t>
  </si>
  <si>
    <t>CDWR-S</t>
  </si>
  <si>
    <t>SCE Service Area - Big Creek Ventura</t>
  </si>
  <si>
    <t>Big Creek/Ventura Subtotal</t>
  </si>
  <si>
    <t>Other SP15 LSEs - Out of LA Basin</t>
  </si>
  <si>
    <t>SCE Service Area - Out of LA Basin</t>
  </si>
  <si>
    <t>Total SCE TAC Area</t>
  </si>
  <si>
    <t>SDG&amp;E Service Area</t>
  </si>
  <si>
    <t>Valley Electric Association</t>
  </si>
  <si>
    <t>Total South of Path 26</t>
  </si>
  <si>
    <t>Total LADWP Control Area</t>
  </si>
  <si>
    <t>Imperial Irrigation District Control Area</t>
  </si>
  <si>
    <t>Total CAISO</t>
  </si>
  <si>
    <t>Total Statewide</t>
  </si>
  <si>
    <t>Table developed based on actual 2014 data.</t>
  </si>
  <si>
    <t>In 2013, Valley Electric Association became a CAISO participating transmission owner.</t>
  </si>
  <si>
    <t>YEAR</t>
  </si>
  <si>
    <t>RPS Factor Applied to Load</t>
  </si>
  <si>
    <t>2014-2026 TOTAL</t>
  </si>
  <si>
    <t>Pacific Gas and Electric Company (Direct Access) includes BART.</t>
  </si>
  <si>
    <t>2013-2026 TOTAL</t>
  </si>
  <si>
    <t>California Energy Demand Revised/Final Forecast, 2016 - 2026, Mid Demand Baseline Case, No AAEE Savings</t>
  </si>
  <si>
    <t>Southern California Edison Company (Lancaster Choice Energy CCA)</t>
  </si>
  <si>
    <t>--</t>
  </si>
  <si>
    <t>Liberty Utilities</t>
  </si>
  <si>
    <t>This table includes retail sales and other deliveries only measured at the customer level. Losses and consumption served by self-generation are excluded. Table developed based on actual 2014 data.</t>
  </si>
  <si>
    <t>Table includes sales from entities outside of California control areas. Thus, total sales in row 76 are higher than state totals given in Form 1.1b.</t>
  </si>
  <si>
    <t>For PG&amp;E service territory, Bay Area Growth is based on projections for forecasting climate zone 1, non-Bay Area on climate zones 2-5, and ZP 26 on climate zone 6.</t>
  </si>
  <si>
    <t>For SCE service territory, LA Basin growth is based on projections for forecasting climate zone 7, Big Creek-Ventura on climate zones 8 and 9, and Out of LA Basin on climate zones 10 and 11.</t>
  </si>
  <si>
    <t>http://www.energy.ca.gov/2015_energypolicy/documents/2016-01-27_load_serving_entity_and_Balencing_authority.php</t>
  </si>
  <si>
    <t>Maximum Transmission Loss Factor</t>
  </si>
  <si>
    <t>Cap Adjustment Factor</t>
  </si>
  <si>
    <t>2020 Cap Adjustment Factor</t>
  </si>
  <si>
    <t>Energy to Serve Load (MWh)</t>
  </si>
  <si>
    <t>Retail Sales (raw) (MWh)</t>
  </si>
  <si>
    <t>Coal (MWh)</t>
  </si>
  <si>
    <t>Nuclear (MWh)</t>
  </si>
  <si>
    <t>Large Hydro (MWh)</t>
  </si>
  <si>
    <t>RPS Power (MWh)</t>
  </si>
  <si>
    <t>Natural Gas (MWh)</t>
  </si>
  <si>
    <t>Allowance Allocation Calculation for 2021-2030</t>
  </si>
  <si>
    <t>Source or Calculation Method</t>
  </si>
  <si>
    <t>City and County of San Francisco, SF Public Utilities Commission</t>
  </si>
  <si>
    <t>City of Anaheim, Public Utilities Department</t>
  </si>
  <si>
    <t>Utility</t>
  </si>
  <si>
    <t>City of Azusa</t>
  </si>
  <si>
    <t>City of Corona Dept. of Water &amp; Power</t>
  </si>
  <si>
    <t>City of Lompoc a Municipal Corporation</t>
  </si>
  <si>
    <t>City of Moreno Valley</t>
  </si>
  <si>
    <t>City of Oakland Acting By and Through Its Board of Port Commissioners</t>
  </si>
  <si>
    <t>Golden State Water Company (Bear Valley Electric Service)</t>
  </si>
  <si>
    <t>Los Angeles Department of Water &amp; Power</t>
  </si>
  <si>
    <t>Pacific Gas and Electric Company</t>
  </si>
  <si>
    <t>Plumas-Sierra Rural Electric Cooperative</t>
  </si>
  <si>
    <t>Power and Water Resources Pooling Authority</t>
  </si>
  <si>
    <t>San Diego Gas &amp; Electric Company</t>
  </si>
  <si>
    <t>Southern California Edison Company</t>
  </si>
  <si>
    <t>Stockton Port District</t>
  </si>
  <si>
    <t>Retail Sales (final) (MWh)</t>
  </si>
  <si>
    <t>Annual Allocation to Each Electrical Distribution Utility</t>
  </si>
  <si>
    <t>Constants Used in Calculations</t>
  </si>
  <si>
    <r>
      <t>EDU-Specific Emissions (MTCO</t>
    </r>
    <r>
      <rPr>
        <vertAlign val="subscript"/>
        <sz val="11"/>
        <rFont val="Calibri"/>
        <family val="2"/>
      </rPr>
      <t>2</t>
    </r>
    <r>
      <rPr>
        <sz val="11"/>
        <rFont val="Calibri"/>
        <family val="2"/>
      </rPr>
      <t>e)</t>
    </r>
  </si>
  <si>
    <t>Electricity to Industrial Covered Entities (MWh)</t>
  </si>
  <si>
    <r>
      <t>EDU-Specific Emission Factor (MTCO</t>
    </r>
    <r>
      <rPr>
        <vertAlign val="subscript"/>
        <sz val="11"/>
        <rFont val="Calibri"/>
        <family val="2"/>
      </rPr>
      <t>2</t>
    </r>
    <r>
      <rPr>
        <sz val="11"/>
        <rFont val="Calibri"/>
        <family val="2"/>
      </rPr>
      <t>e/MWh)</t>
    </r>
  </si>
  <si>
    <r>
      <t xml:space="preserve"> Industrial Covered Entity Emissions (MTCO</t>
    </r>
    <r>
      <rPr>
        <vertAlign val="subscript"/>
        <sz val="11"/>
        <rFont val="Calibri"/>
        <family val="2"/>
      </rPr>
      <t>2</t>
    </r>
    <r>
      <rPr>
        <sz val="11"/>
        <rFont val="Calibri"/>
        <family val="2"/>
      </rPr>
      <t>e)</t>
    </r>
  </si>
  <si>
    <t>Annual Allocation (allowances)</t>
  </si>
  <si>
    <r>
      <t>Natural Gas Emission Factor (MTCO</t>
    </r>
    <r>
      <rPr>
        <vertAlign val="subscript"/>
        <sz val="11"/>
        <color theme="1"/>
        <rFont val="Calibri"/>
        <family val="2"/>
        <scheme val="minor"/>
      </rPr>
      <t>2</t>
    </r>
    <r>
      <rPr>
        <sz val="11"/>
        <color theme="1"/>
        <rFont val="Calibri"/>
        <family val="2"/>
        <scheme val="minor"/>
      </rPr>
      <t>e/MWh)</t>
    </r>
  </si>
  <si>
    <r>
      <t>IPP Coal Emission Factor (as used for 2013-2020 allocations, except now adjusted to use AR4 emission factors) (MTCO</t>
    </r>
    <r>
      <rPr>
        <vertAlign val="subscript"/>
        <sz val="11"/>
        <color theme="1"/>
        <rFont val="Calibri"/>
        <family val="2"/>
        <scheme val="minor"/>
      </rPr>
      <t>2</t>
    </r>
    <r>
      <rPr>
        <sz val="11"/>
        <color theme="1"/>
        <rFont val="Calibri"/>
        <family val="2"/>
        <scheme val="minor"/>
      </rPr>
      <t>e/MWh)</t>
    </r>
  </si>
  <si>
    <r>
      <t>Minimum</t>
    </r>
    <r>
      <rPr>
        <sz val="11"/>
        <color rgb="FF000000"/>
        <rFont val="Calibri"/>
        <family val="2"/>
      </rPr>
      <t xml:space="preserve"> Natural Gas Percentage</t>
    </r>
  </si>
  <si>
    <t>Average Annual Growth from Form 1.5a (weighted average across service areas)</t>
  </si>
  <si>
    <t>Average Annual Growth from Form 1.5a</t>
  </si>
  <si>
    <t>Retail Sales (final) times RPS Factor Applied to Load</t>
  </si>
  <si>
    <t>Energy not provided by other sources, except not less than 5% of Energy to Serve Load</t>
  </si>
  <si>
    <t>Calculated emissions from coal and natural gas: Coal (MWh) times IPP Coal Emission Factor plus Natural Gas (MWh) times Natural Gas Emission Factor</t>
  </si>
  <si>
    <t>Baseline Industrial Covered Entity Purchased Electricity (MWh):</t>
  </si>
  <si>
    <t>Baseline Industrial Covered Entity Purchased Electricity multiplied by Cap Adjustment Factor</t>
  </si>
  <si>
    <t>EDU-Specific Emissions divided by Energy to Serve Load</t>
  </si>
  <si>
    <t>Electricity to Industrial Covered Entities times EDU-Specific Emissions Factor</t>
  </si>
  <si>
    <t>EDU-Specific Emissions multiplied by Cap Adjustment Factor, divided by 2020 Cap Adjustment Factor, less Industrial Covered Entity Emissions</t>
  </si>
  <si>
    <t>From Table 9-2 in proposed regulatory amendments (first 15-day package)</t>
  </si>
  <si>
    <t>For each year 2013 through 2015, summed the actual electricity purchased by industrial covered entities served by the EDU, as reported in MRR, and divided by the cap adjustment factor for that year. Took the average of those three values.  Represents electricity for which industrial covered entities would receive allocations</t>
  </si>
  <si>
    <t>2021: average of 2013-2015, most recent data from S-2 form.  2022-2030: prior year's Energy to Serve Load multiplied by the Load Change Factor.</t>
  </si>
  <si>
    <t>2021-2026: from 2015 CEC Form 1.5a; 2027: average of 2024-2026 Energy to Serve Load multiplied by Average Annual Growth; 2028-2030: prior year Energy to Serve Load multiplied by Average Annual Growth</t>
  </si>
  <si>
    <t>2021: average of 2013-2015, most recent data from S-2 form.  2022-2030: prior year's Energy to Serve Load multiplied by Average Annual Growth</t>
  </si>
  <si>
    <t>Assumed Default Transmission Loss Factor</t>
  </si>
  <si>
    <t>2021-2030: Retail Sales (raw) divided by 1 minus Assumed Default Transmission Loss Factor</t>
  </si>
  <si>
    <t>2021-2026: from CEC Form 1.1c;  2027: average of 2024-2026 Retail Sales (raw) multiplied by Average Annual Growth; 2028-2030: prior year's Energy to Serve Load multiplied by Average Annual Growth</t>
  </si>
  <si>
    <t>Retail Sales (raw), except if losses not in 0-15% range, then is Energy to Serve Load, minus 7%</t>
  </si>
  <si>
    <t>Average Annual Growth from Form 1.1c</t>
  </si>
  <si>
    <t>2021: average of 2013-2015, which are most recent data from S-2 form.  2022-2030: prior year's Energy to Serve Load multiplied by Average Annual Growth</t>
  </si>
  <si>
    <t>Energy to Serve California Load (MWh)</t>
  </si>
  <si>
    <r>
      <t>2021-2025:  From PacifiCorp 2015 IRP Update supplement</t>
    </r>
    <r>
      <rPr>
        <vertAlign val="superscript"/>
        <sz val="11"/>
        <color theme="1"/>
        <rFont val="Calibri"/>
        <family val="2"/>
        <scheme val="minor"/>
      </rPr>
      <t>1</t>
    </r>
    <r>
      <rPr>
        <sz val="11"/>
        <color theme="1"/>
        <rFont val="Calibri"/>
        <family val="2"/>
        <scheme val="minor"/>
      </rPr>
      <t>.  Includes load expected to be met by energy efficiency.</t>
    </r>
  </si>
  <si>
    <t>System-wide Coal (%)</t>
  </si>
  <si>
    <r>
      <t>From PacifiCorp 2015 IRP Update supplement</t>
    </r>
    <r>
      <rPr>
        <vertAlign val="superscript"/>
        <sz val="11"/>
        <color theme="1"/>
        <rFont val="Calibri"/>
        <family val="2"/>
        <scheme val="minor"/>
      </rPr>
      <t>2</t>
    </r>
    <r>
      <rPr>
        <sz val="11"/>
        <color theme="1"/>
        <rFont val="Calibri"/>
        <family val="2"/>
        <scheme val="minor"/>
      </rPr>
      <t>.</t>
    </r>
  </si>
  <si>
    <t>System-wide Zero-Emission Power (%)</t>
  </si>
  <si>
    <r>
      <t>From PacifiCorp 2015 IRP Update supplement</t>
    </r>
    <r>
      <rPr>
        <vertAlign val="superscript"/>
        <sz val="11"/>
        <color theme="1"/>
        <rFont val="Calibri"/>
        <family val="2"/>
        <scheme val="minor"/>
      </rPr>
      <t>2</t>
    </r>
    <r>
      <rPr>
        <sz val="11"/>
        <color theme="1"/>
        <rFont val="Calibri"/>
        <family val="2"/>
        <scheme val="minor"/>
      </rPr>
      <t>. Includes Large Hydro, Renewable Generation sufficient to meet all state's RPS requirements, and reductions in load due to projected energy efficiency.</t>
    </r>
  </si>
  <si>
    <t>Natural Gas (%)</t>
  </si>
  <si>
    <t>Calculated as total power (%) less % for System-wide Coal and and System-wide Zero Emission Power.</t>
  </si>
  <si>
    <t>Calculated as sum of percentage System-wide Coal multiplied by IPP Coal Emission Factor plus percentage System-wide Natural Gas multiplied by Natural Gas Emission Factor.</t>
  </si>
  <si>
    <t>EDU-Specific Emissions multiplied by Cap Adjustment Factor, divided by 2020 Cap Adjustment Factor</t>
  </si>
  <si>
    <t>References:</t>
  </si>
  <si>
    <r>
      <rPr>
        <vertAlign val="superscript"/>
        <sz val="11"/>
        <color theme="1"/>
        <rFont val="Calibri"/>
        <family val="2"/>
        <scheme val="minor"/>
      </rPr>
      <t>1</t>
    </r>
    <r>
      <rPr>
        <sz val="11"/>
        <color theme="1"/>
        <rFont val="Calibri"/>
        <family val="2"/>
        <scheme val="minor"/>
      </rPr>
      <t xml:space="preserve"> Table 2 –2015 IRP Update: Forecasted Annual Load Growth at Generation, before DSM Adjustment, Reduced for Distributed Generation; 2016-2025 (Megawatt-hours)</t>
    </r>
  </si>
  <si>
    <t xml:space="preserve">www.pacificorp.com/content/dam/pacificorp/doc/Energy_Sources/Integrated_Resource_Plan/2015%20IRP%20Update/2015_IRP_Update_Load_Forecast.pdf </t>
  </si>
  <si>
    <t xml:space="preserve">www.pacificorp.com/content/dam/pacificorp/doc/Energy_Sources/Integrated_Resource_Plan/2015%20IRP%20Update/2015_IRP_Update_Projected_Energy_Mix.pdf </t>
  </si>
  <si>
    <t>Average Annual Growth from PacifiCorp 2015 IRP Update supplement</t>
  </si>
  <si>
    <t>No coal reported in S-2</t>
  </si>
  <si>
    <t>No coal for 2021 or later reported in S-2</t>
  </si>
  <si>
    <t>No nuclear for 2021 or later reported in S-2</t>
  </si>
  <si>
    <t>No coal for 2021 or later per data provided by WAPA</t>
  </si>
  <si>
    <t>No nuclear for 2021 or later per data provided by WAPA</t>
  </si>
  <si>
    <t>No large hydro reported in S-2</t>
  </si>
  <si>
    <t>No nuclear reported in S-2</t>
  </si>
  <si>
    <t>Linear increase from 2020 target of 33% to 2030 target of 50%.  Annually rounded to nearest whole percent</t>
  </si>
  <si>
    <t>Retail Sales (raw)</t>
  </si>
  <si>
    <t>Energy to Serve Load minus 7%, because no Form 1.1c data available</t>
  </si>
  <si>
    <t>2021-2024: from S-2;  2025-2030: average of 2022-2024 Large Hydro</t>
  </si>
  <si>
    <t>2021-2024: from S-2 (power from Diablo Canyon Generating Station); 2025: average of 2022-2024 Nuclear; 2026-2030: zero because Diablo Canyon expected to retire before 2026</t>
  </si>
  <si>
    <t>2021-2030: average of 2013-2014 from S-2 (power from Palo Verde Nuclear Generating Station)</t>
  </si>
  <si>
    <t>2021-2030: average of 2013-2014 from S-2</t>
  </si>
  <si>
    <t>2021-2024: from S-2 (power from IPP); 2025-2026: average of 2022-2024 Coal; 2027: 50% of 2026 Coal; 2028-2030: zero because IPP contract ends June 2027</t>
  </si>
  <si>
    <t>2021-2024: from S-2 (power from Palo Verde Nuclear Generating Station); 2025-2030: average of 2022-2024 Nuclear</t>
  </si>
  <si>
    <t>Average of 2013-2015 data provided by WAPA</t>
  </si>
  <si>
    <t>2021-2030: average of 2013-2015 from S-2</t>
  </si>
  <si>
    <t>Source of coal reported in S-2 expected to retire before 2021</t>
  </si>
  <si>
    <t>2021-2030: average of 2013-2015 from S-2 (power from Palo Verde Nuclear Generating Station)</t>
  </si>
  <si>
    <t>No S-2.  All non-RPS power assumed to be natural gas.</t>
  </si>
  <si>
    <t>No S-2.  No coal, nuclear or large hydro because staff confirmed with Liberty that all Energy to Serve Load in California is unspecified imports, assumed to be sourced from natural gas</t>
  </si>
  <si>
    <t>2021-2030: average of 2013-2015 from S-2, including only the 15% of "WAPA Purchases" which are large hydro, with the rest consisting of unspecified power assumed to be sourced from natural gas</t>
  </si>
  <si>
    <t>Average Annual Growth</t>
  </si>
  <si>
    <t>2021-2024: lesser of value from S-2 (power from IPP) and remainder of Energy to Serve Load not provided by other sources; 2025-2026: remainder of Energy to Serve Load not provided by other sources; 2027: 50% of 2026 Coal; 2028-2030: zero because IPP contract ends June 2027</t>
  </si>
  <si>
    <t>2021-2026: utility share from NCPA S-2, as updated and disaggregated by NCPA;  2027-2030: average of 2024-2026 Large Hydro</t>
  </si>
  <si>
    <t>No nuclear reported in NCPA S-2</t>
  </si>
  <si>
    <t>Minimum Natural Gas Percentage</t>
  </si>
  <si>
    <t>No coal reported in NCPA S-2</t>
  </si>
  <si>
    <t>Minimum Transmission Loss Factor</t>
  </si>
  <si>
    <t>Retail Sales (raw), except if for any year, losses not in 0-15% range, then is Energy to Serve Load, minus 7%</t>
  </si>
  <si>
    <t>2020-2026: utility share from NCPA S-2, as updated and disaggregated by NCPA; 2027: average of 2024-2026 Energy to Serve Load multiplied by Annual Average Growth; 2028-2030: prior year Energy to Serve Load multiplied by Average Annual Growth</t>
  </si>
  <si>
    <t>Natural gas emission factor, MTCO2e/MWh</t>
  </si>
  <si>
    <t>Energy not provided by other sources, except not less than 5% of Energy to Serve Load.  Assumes 2021-2027 Coal values are based on S-2 values, resulting in Natural Gas (MWh) being 5% of Energy to Serve Load</t>
  </si>
  <si>
    <t>Energy not provided by other sources, except not less than 5% of Energy to Serve Load.  Assumes 2021-2027 Coal values are based on S-2 values.</t>
  </si>
  <si>
    <r>
      <rPr>
        <vertAlign val="superscript"/>
        <sz val="11"/>
        <color theme="1"/>
        <rFont val="Calibri"/>
        <family val="2"/>
        <scheme val="minor"/>
      </rPr>
      <t>2</t>
    </r>
    <r>
      <rPr>
        <sz val="11"/>
        <color theme="1"/>
        <rFont val="Calibri"/>
        <family val="2"/>
        <scheme val="minor"/>
      </rPr>
      <t xml:space="preserve"> Projected Energy Mix with 2015 IRP Update Portfolio Resources</t>
    </r>
  </si>
  <si>
    <t>This EDU provides electricity to fewer than five industrial covered entities.  Electricity data for these entities is used as part of calculating the EDU's allowance allocation. One or more of these entities identified their electricity usage data as confidential business information.  Therefore, this EDU's calculation is redacted.  The calculation spreadsheet has been provided directly to the EDU.</t>
  </si>
  <si>
    <t>This workbook is a companion to Attachment C of FIRST NOTICE OF PUBLIC AVAILABILITY OF 15-DAY AMENDMENT TEXT of Proposed Amendments to the California Cap on Greenhouse Gas Emissions and Market-Based Compliance Mechanisms Regulation. Attachment C: 2021–2030 Allocation to Electrical Distribution Utilities is available at https://www.arb.ca.gov/regact/2016/capandtrade16/attach_c.pdf.</t>
  </si>
  <si>
    <t>CEC Energy Forecast data from</t>
  </si>
  <si>
    <t xml:space="preserve">http://www.energy.ca.gov/2015_energypolicy/documents/2016-01-27_load_serving_entity_and_Balencing_authority.php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</si>
</sst>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_);_(* \(#,##0\);_(* &quot;-&quot;??_);_(@_)"/>
    <numFmt numFmtId="165" formatCode="[$-409]mmmm\ d\,\ yyyy;@"/>
    <numFmt numFmtId="166" formatCode="0.000"/>
    <numFmt numFmtId="167" formatCode="0.0%"/>
    <numFmt numFmtId="168" formatCode="_(* #,##0.000_);_(* \(#,##0.000\);_(* &quot;-&quot;??_);_(@_)"/>
    <numFmt numFmtId="169" formatCode="&quot;$&quot;#,##0\ ;\(&quot;$&quot;#,##0\)"/>
    <numFmt numFmtId="170" formatCode="m/d"/>
    <numFmt numFmtId="171" formatCode="0.0000"/>
    <numFmt numFmtId="172" formatCode="_(* #,##0_);_(* \(#,##0\);_(* &quot;-&quot;???_);_(@_)"/>
  </numFmts>
  <fonts count="26" x14ac:knownFonts="1">
    <font>
      <sz val="11"/>
      <color theme="1"/>
      <name val="Calibri"/>
      <family val="2"/>
      <scheme val="minor"/>
    </font>
    <font>
      <sz val="11"/>
      <color theme="1"/>
      <name val="Calibri"/>
      <family val="2"/>
      <scheme val="minor"/>
    </font>
    <font>
      <sz val="12"/>
      <name val="Times New Roman"/>
      <family val="1"/>
    </font>
    <font>
      <sz val="10"/>
      <name val="Arial"/>
      <family val="2"/>
    </font>
    <font>
      <sz val="12"/>
      <name val="Arial"/>
      <family val="2"/>
    </font>
    <font>
      <b/>
      <sz val="12"/>
      <name val="Arial"/>
      <family val="2"/>
    </font>
    <font>
      <b/>
      <sz val="10"/>
      <name val="Arial"/>
      <family val="2"/>
    </font>
    <font>
      <b/>
      <sz val="10"/>
      <color theme="1"/>
      <name val="Arial"/>
      <family val="2"/>
    </font>
    <font>
      <sz val="11"/>
      <color rgb="FF000000"/>
      <name val="Calibri"/>
      <family val="2"/>
    </font>
    <font>
      <b/>
      <sz val="11"/>
      <color rgb="FF000000"/>
      <name val="Calibri"/>
      <family val="2"/>
    </font>
    <font>
      <i/>
      <sz val="11"/>
      <color rgb="FF000000"/>
      <name val="Calibri"/>
      <family val="2"/>
    </font>
    <font>
      <vertAlign val="subscript"/>
      <sz val="11"/>
      <color theme="1"/>
      <name val="Calibri"/>
      <family val="2"/>
      <scheme val="minor"/>
    </font>
    <font>
      <i/>
      <sz val="11"/>
      <name val="Calibri"/>
      <family val="2"/>
      <scheme val="minor"/>
    </font>
    <font>
      <sz val="11"/>
      <color theme="1"/>
      <name val="Arial"/>
      <family val="2"/>
    </font>
    <font>
      <sz val="12"/>
      <color theme="1"/>
      <name val="Arial"/>
      <family val="2"/>
    </font>
    <font>
      <sz val="9"/>
      <color theme="1"/>
      <name val="Arial"/>
      <family val="2"/>
    </font>
    <font>
      <sz val="10"/>
      <color theme="1"/>
      <name val="Arial"/>
      <family val="2"/>
    </font>
    <font>
      <b/>
      <sz val="11"/>
      <name val="Calibri"/>
      <family val="2"/>
    </font>
    <font>
      <i/>
      <sz val="11"/>
      <name val="Calibri"/>
      <family val="2"/>
    </font>
    <font>
      <sz val="11"/>
      <name val="Calibri"/>
      <family val="2"/>
    </font>
    <font>
      <vertAlign val="subscript"/>
      <sz val="11"/>
      <name val="Calibri"/>
      <family val="2"/>
    </font>
    <font>
      <b/>
      <sz val="11"/>
      <name val="Calibri"/>
      <family val="2"/>
      <scheme val="minor"/>
    </font>
    <font>
      <u/>
      <sz val="11"/>
      <color theme="10"/>
      <name val="Calibri"/>
      <family val="2"/>
      <scheme val="minor"/>
    </font>
    <font>
      <vertAlign val="superscript"/>
      <sz val="11"/>
      <color theme="1"/>
      <name val="Calibri"/>
      <family val="2"/>
      <scheme val="minor"/>
    </font>
    <font>
      <b/>
      <sz val="11"/>
      <color theme="1"/>
      <name val="Calibri"/>
      <family val="2"/>
      <scheme val="minor"/>
    </font>
    <font>
      <u/>
      <sz val="12"/>
      <color theme="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style="thin">
        <color indexed="65"/>
      </top>
      <bottom/>
      <diagonal/>
    </border>
    <border>
      <left style="thin">
        <color indexed="8"/>
      </left>
      <right/>
      <top/>
      <bottom/>
      <diagonal/>
    </border>
    <border>
      <left style="thin">
        <color indexed="65"/>
      </left>
      <right/>
      <top style="thin">
        <color indexed="8"/>
      </top>
      <bottom style="thin">
        <color indexed="64"/>
      </bottom>
      <diagonal/>
    </border>
    <border>
      <left style="thin">
        <color indexed="65"/>
      </left>
      <right/>
      <top style="thin">
        <color indexed="8"/>
      </top>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9">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 fillId="0" borderId="0"/>
    <xf numFmtId="0" fontId="1" fillId="0" borderId="0"/>
    <xf numFmtId="43" fontId="3" fillId="0" borderId="0" applyFont="0" applyFill="0" applyBorder="0" applyAlignment="0" applyProtection="0"/>
    <xf numFmtId="0" fontId="2" fillId="0" borderId="0"/>
    <xf numFmtId="0" fontId="3" fillId="0" borderId="0"/>
    <xf numFmtId="0" fontId="3" fillId="0" borderId="0"/>
    <xf numFmtId="0" fontId="2" fillId="0" borderId="0"/>
    <xf numFmtId="0" fontId="3" fillId="0" borderId="0"/>
    <xf numFmtId="16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0" fontId="2" fillId="0" borderId="0"/>
    <xf numFmtId="0" fontId="1" fillId="0" borderId="0"/>
    <xf numFmtId="0" fontId="3" fillId="0" borderId="0"/>
    <xf numFmtId="43" fontId="3" fillId="0" borderId="0" applyFont="0" applyFill="0" applyBorder="0" applyAlignment="0" applyProtection="0"/>
    <xf numFmtId="0" fontId="4" fillId="0" borderId="0"/>
    <xf numFmtId="0" fontId="4" fillId="0" borderId="0"/>
    <xf numFmtId="0" fontId="4" fillId="0" borderId="0"/>
    <xf numFmtId="43" fontId="1" fillId="0" borderId="0" applyFont="0" applyFill="0" applyBorder="0" applyAlignment="0" applyProtection="0"/>
    <xf numFmtId="9" fontId="1" fillId="0" borderId="0" applyFont="0" applyFill="0" applyBorder="0" applyAlignment="0" applyProtection="0"/>
    <xf numFmtId="3"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2" fontId="3" fillId="0" borderId="0" applyFont="0" applyFill="0" applyBorder="0" applyAlignment="0" applyProtection="0"/>
    <xf numFmtId="0" fontId="3" fillId="0" borderId="0"/>
    <xf numFmtId="0" fontId="1" fillId="0" borderId="0"/>
    <xf numFmtId="0" fontId="1" fillId="0" borderId="0"/>
    <xf numFmtId="0" fontId="2" fillId="0" borderId="0"/>
    <xf numFmtId="43" fontId="2"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0" fontId="22" fillId="0" borderId="0" applyNumberFormat="0" applyFill="0" applyBorder="0" applyAlignment="0" applyProtection="0"/>
  </cellStyleXfs>
  <cellXfs count="155">
    <xf numFmtId="0" fontId="0" fillId="0" borderId="0" xfId="0"/>
    <xf numFmtId="38" fontId="0" fillId="0" borderId="0" xfId="0" applyNumberFormat="1"/>
    <xf numFmtId="3" fontId="0" fillId="0" borderId="0" xfId="0" applyNumberFormat="1"/>
    <xf numFmtId="0" fontId="0" fillId="0" borderId="0" xfId="0" applyAlignment="1">
      <alignment wrapText="1"/>
    </xf>
    <xf numFmtId="0" fontId="2" fillId="0" borderId="0" xfId="0" applyFont="1"/>
    <xf numFmtId="43" fontId="0" fillId="0" borderId="0" xfId="0" applyNumberFormat="1"/>
    <xf numFmtId="9" fontId="0" fillId="0" borderId="0" xfId="0" applyNumberFormat="1"/>
    <xf numFmtId="0" fontId="2" fillId="0" borderId="0" xfId="5" applyFont="1"/>
    <xf numFmtId="0" fontId="2" fillId="0" borderId="0" xfId="5" applyFont="1" applyAlignment="1">
      <alignment wrapText="1"/>
    </xf>
    <xf numFmtId="0" fontId="0" fillId="0" borderId="2" xfId="0" applyBorder="1" applyAlignment="1">
      <alignment wrapText="1"/>
    </xf>
    <xf numFmtId="0" fontId="5" fillId="0" borderId="0" xfId="31" applyFont="1" applyAlignment="1">
      <alignment horizontal="centerContinuous" vertical="center"/>
    </xf>
    <xf numFmtId="0" fontId="5" fillId="0" borderId="0" xfId="31" quotePrefix="1" applyFont="1" applyAlignment="1">
      <alignment horizontal="centerContinuous" vertical="center"/>
    </xf>
    <xf numFmtId="164" fontId="0" fillId="0" borderId="0" xfId="12" applyNumberFormat="1" applyFont="1" applyBorder="1" applyAlignment="1">
      <alignment horizontal="centerContinuous" vertical="center"/>
    </xf>
    <xf numFmtId="0" fontId="5" fillId="0" borderId="0" xfId="31" applyFont="1" applyAlignment="1">
      <alignment vertical="center"/>
    </xf>
    <xf numFmtId="0" fontId="5" fillId="0" borderId="0" xfId="32" applyFont="1" applyAlignment="1">
      <alignment horizontal="centerContinuous" vertical="center"/>
    </xf>
    <xf numFmtId="0" fontId="5" fillId="0" borderId="0" xfId="33" applyFont="1" applyAlignment="1">
      <alignment horizontal="centerContinuous" vertical="center"/>
    </xf>
    <xf numFmtId="0" fontId="4" fillId="0" borderId="0" xfId="31" applyAlignment="1">
      <alignment horizontal="centerContinuous" vertical="center"/>
    </xf>
    <xf numFmtId="0" fontId="4" fillId="0" borderId="0" xfId="31" applyAlignment="1">
      <alignment vertical="center"/>
    </xf>
    <xf numFmtId="0" fontId="6" fillId="0" borderId="9" xfId="2" applyFont="1" applyBorder="1" applyAlignment="1">
      <alignment horizontal="center" wrapText="1"/>
    </xf>
    <xf numFmtId="0" fontId="6" fillId="0" borderId="10" xfId="2" applyFont="1" applyBorder="1" applyAlignment="1">
      <alignment horizontal="center"/>
    </xf>
    <xf numFmtId="0" fontId="6" fillId="0" borderId="11" xfId="2" applyFont="1" applyBorder="1" applyAlignment="1">
      <alignment horizontal="center"/>
    </xf>
    <xf numFmtId="0" fontId="3" fillId="0" borderId="0" xfId="14"/>
    <xf numFmtId="0" fontId="3" fillId="0" borderId="11" xfId="2" applyFont="1" applyBorder="1"/>
    <xf numFmtId="164" fontId="3" fillId="0" borderId="11" xfId="34" applyNumberFormat="1" applyFont="1" applyBorder="1"/>
    <xf numFmtId="167" fontId="3" fillId="0" borderId="7" xfId="35" applyNumberFormat="1" applyFont="1" applyBorder="1"/>
    <xf numFmtId="0" fontId="3" fillId="0" borderId="12" xfId="2" applyFont="1" applyBorder="1"/>
    <xf numFmtId="0" fontId="3" fillId="0" borderId="13" xfId="2" applyFont="1" applyBorder="1"/>
    <xf numFmtId="0" fontId="3" fillId="0" borderId="14" xfId="2" applyFont="1" applyBorder="1"/>
    <xf numFmtId="0" fontId="3" fillId="0" borderId="15" xfId="2" applyFont="1" applyBorder="1"/>
    <xf numFmtId="0" fontId="3" fillId="0" borderId="16" xfId="2" applyFont="1" applyBorder="1"/>
    <xf numFmtId="0" fontId="3" fillId="0" borderId="17" xfId="2" applyFont="1" applyBorder="1"/>
    <xf numFmtId="0" fontId="3" fillId="0" borderId="9" xfId="2" applyFont="1" applyBorder="1"/>
    <xf numFmtId="164" fontId="3" fillId="0" borderId="18" xfId="34" applyNumberFormat="1" applyFont="1" applyBorder="1"/>
    <xf numFmtId="167" fontId="3" fillId="0" borderId="2" xfId="35" applyNumberFormat="1" applyFont="1" applyBorder="1"/>
    <xf numFmtId="0" fontId="3" fillId="0" borderId="0" xfId="2" applyFont="1"/>
    <xf numFmtId="0" fontId="3" fillId="0" borderId="0" xfId="2" applyFont="1" applyBorder="1"/>
    <xf numFmtId="0" fontId="3" fillId="0" borderId="0" xfId="2" applyFont="1" applyFill="1" applyBorder="1"/>
    <xf numFmtId="0" fontId="5" fillId="0" borderId="0" xfId="31" applyFont="1" applyBorder="1" applyAlignment="1">
      <alignment horizontal="centerContinuous" vertical="center"/>
    </xf>
    <xf numFmtId="0" fontId="5" fillId="0" borderId="0" xfId="31" quotePrefix="1" applyFont="1" applyBorder="1" applyAlignment="1">
      <alignment horizontal="centerContinuous" vertical="center"/>
    </xf>
    <xf numFmtId="0" fontId="5" fillId="0" borderId="0" xfId="31" applyFont="1" applyBorder="1" applyAlignment="1">
      <alignment horizontal="centerContinuous" vertical="center" wrapText="1"/>
    </xf>
    <xf numFmtId="0" fontId="5" fillId="0" borderId="0" xfId="31" applyFont="1" applyBorder="1" applyAlignment="1">
      <alignment vertical="center"/>
    </xf>
    <xf numFmtId="0" fontId="5" fillId="0" borderId="0" xfId="32" applyFont="1" applyBorder="1" applyAlignment="1">
      <alignment horizontal="centerContinuous" vertical="center"/>
    </xf>
    <xf numFmtId="0" fontId="5" fillId="0" borderId="0" xfId="33" applyFont="1" applyBorder="1" applyAlignment="1">
      <alignment horizontal="centerContinuous" vertical="center"/>
    </xf>
    <xf numFmtId="0" fontId="4" fillId="0" borderId="0" xfId="31" applyBorder="1" applyAlignment="1">
      <alignment horizontal="centerContinuous" vertical="center"/>
    </xf>
    <xf numFmtId="0" fontId="4" fillId="0" borderId="0" xfId="31" applyBorder="1" applyAlignment="1">
      <alignment horizontal="centerContinuous" vertical="center" wrapText="1"/>
    </xf>
    <xf numFmtId="0" fontId="4" fillId="0" borderId="0" xfId="31" applyBorder="1" applyAlignment="1">
      <alignment vertical="center"/>
    </xf>
    <xf numFmtId="0" fontId="6" fillId="0" borderId="2" xfId="2" applyFont="1" applyBorder="1" applyAlignment="1">
      <alignment horizontal="center" wrapText="1"/>
    </xf>
    <xf numFmtId="0" fontId="6" fillId="0" borderId="2" xfId="2" applyFont="1" applyBorder="1" applyAlignment="1">
      <alignment horizontal="center"/>
    </xf>
    <xf numFmtId="0" fontId="3" fillId="0" borderId="0" xfId="14" applyBorder="1"/>
    <xf numFmtId="0" fontId="3" fillId="0" borderId="21" xfId="2" applyFont="1" applyBorder="1"/>
    <xf numFmtId="164" fontId="3" fillId="0" borderId="7" xfId="34" applyNumberFormat="1" applyFont="1" applyBorder="1"/>
    <xf numFmtId="10" fontId="3" fillId="0" borderId="23" xfId="34" applyNumberFormat="1" applyFont="1" applyBorder="1" applyAlignment="1">
      <alignment wrapText="1"/>
    </xf>
    <xf numFmtId="0" fontId="6" fillId="0" borderId="21" xfId="2" applyFont="1" applyBorder="1"/>
    <xf numFmtId="0" fontId="6" fillId="0" borderId="0" xfId="2" applyFont="1" applyBorder="1"/>
    <xf numFmtId="0" fontId="6" fillId="0" borderId="22" xfId="2" applyFont="1" applyBorder="1"/>
    <xf numFmtId="0" fontId="3" fillId="0" borderId="1" xfId="2" applyFont="1" applyBorder="1"/>
    <xf numFmtId="164" fontId="3" fillId="0" borderId="2" xfId="34" applyNumberFormat="1" applyFont="1" applyBorder="1"/>
    <xf numFmtId="164" fontId="3" fillId="0" borderId="0" xfId="34" applyNumberFormat="1" applyFont="1" applyBorder="1"/>
    <xf numFmtId="167" fontId="3" fillId="0" borderId="0" xfId="35" applyNumberFormat="1" applyFont="1" applyBorder="1" applyAlignment="1">
      <alignment wrapText="1"/>
    </xf>
    <xf numFmtId="9" fontId="1" fillId="0" borderId="2" xfId="45" applyNumberFormat="1" applyBorder="1"/>
    <xf numFmtId="0" fontId="8" fillId="0" borderId="0" xfId="45" applyFont="1" applyFill="1" applyBorder="1"/>
    <xf numFmtId="0" fontId="8" fillId="0" borderId="2" xfId="45" applyFont="1" applyFill="1" applyBorder="1"/>
    <xf numFmtId="0" fontId="2" fillId="0" borderId="0" xfId="0" applyFont="1" applyFill="1" applyBorder="1"/>
    <xf numFmtId="164" fontId="8" fillId="0" borderId="2" xfId="6" applyNumberFormat="1" applyFont="1" applyFill="1" applyBorder="1"/>
    <xf numFmtId="171" fontId="8" fillId="0" borderId="2" xfId="45" applyNumberFormat="1" applyFont="1" applyFill="1" applyBorder="1"/>
    <xf numFmtId="9" fontId="8" fillId="0" borderId="2" xfId="45" applyNumberFormat="1" applyFont="1" applyFill="1" applyBorder="1"/>
    <xf numFmtId="10" fontId="8" fillId="0" borderId="2" xfId="26" applyNumberFormat="1" applyFont="1" applyFill="1" applyBorder="1"/>
    <xf numFmtId="164" fontId="8" fillId="0" borderId="2" xfId="6" quotePrefix="1" applyNumberFormat="1" applyFont="1" applyFill="1" applyBorder="1"/>
    <xf numFmtId="9" fontId="2" fillId="0" borderId="0" xfId="26" applyFont="1" applyFill="1" applyBorder="1"/>
    <xf numFmtId="167" fontId="7" fillId="4" borderId="2" xfId="14" applyNumberFormat="1" applyFont="1" applyFill="1" applyBorder="1" applyAlignment="1">
      <alignment horizontal="center" wrapText="1"/>
    </xf>
    <xf numFmtId="9" fontId="8" fillId="0" borderId="2" xfId="26" applyFont="1" applyFill="1" applyBorder="1"/>
    <xf numFmtId="164" fontId="3" fillId="4" borderId="7" xfId="34" applyNumberFormat="1" applyFont="1" applyFill="1" applyBorder="1"/>
    <xf numFmtId="164" fontId="3" fillId="4" borderId="2" xfId="34" applyNumberFormat="1" applyFont="1" applyFill="1" applyBorder="1"/>
    <xf numFmtId="9" fontId="1" fillId="0" borderId="2" xfId="45" applyNumberFormat="1" applyFill="1" applyBorder="1"/>
    <xf numFmtId="167" fontId="7" fillId="0" borderId="7" xfId="0" applyNumberFormat="1" applyFont="1" applyBorder="1" applyAlignment="1">
      <alignment horizontal="center" wrapText="1"/>
    </xf>
    <xf numFmtId="167" fontId="3" fillId="0" borderId="7" xfId="35" quotePrefix="1" applyNumberFormat="1" applyFont="1" applyBorder="1" applyAlignment="1">
      <alignment horizontal="right"/>
    </xf>
    <xf numFmtId="164" fontId="3" fillId="0" borderId="12" xfId="2" applyNumberFormat="1" applyFont="1" applyBorder="1"/>
    <xf numFmtId="0" fontId="3" fillId="0" borderId="24" xfId="2" applyFont="1" applyBorder="1"/>
    <xf numFmtId="167" fontId="7" fillId="0" borderId="2" xfId="0" applyNumberFormat="1" applyFont="1" applyBorder="1" applyAlignment="1">
      <alignment horizontal="center" wrapText="1"/>
    </xf>
    <xf numFmtId="0" fontId="0" fillId="0" borderId="0" xfId="0" applyBorder="1" applyAlignment="1">
      <alignment wrapText="1"/>
    </xf>
    <xf numFmtId="0" fontId="0" fillId="0" borderId="0" xfId="0" applyBorder="1"/>
    <xf numFmtId="164" fontId="8" fillId="0" borderId="2" xfId="45" applyNumberFormat="1" applyFont="1" applyFill="1" applyBorder="1"/>
    <xf numFmtId="168" fontId="0" fillId="0" borderId="2" xfId="45" applyNumberFormat="1" applyFont="1" applyBorder="1"/>
    <xf numFmtId="166" fontId="1" fillId="0" borderId="7" xfId="45" applyNumberFormat="1" applyBorder="1"/>
    <xf numFmtId="164" fontId="1" fillId="0" borderId="20" xfId="45" applyNumberFormat="1" applyBorder="1"/>
    <xf numFmtId="164" fontId="1" fillId="0" borderId="0" xfId="45" applyNumberFormat="1" applyBorder="1"/>
    <xf numFmtId="166" fontId="8" fillId="0" borderId="2" xfId="45" applyNumberFormat="1" applyFont="1" applyFill="1" applyBorder="1"/>
    <xf numFmtId="164" fontId="1" fillId="0" borderId="2" xfId="6" applyNumberFormat="1" applyFont="1" applyFill="1" applyBorder="1"/>
    <xf numFmtId="172" fontId="8" fillId="0" borderId="2" xfId="45" applyNumberFormat="1" applyFont="1" applyFill="1" applyBorder="1"/>
    <xf numFmtId="0" fontId="8" fillId="0" borderId="2" xfId="45" applyFont="1" applyFill="1" applyBorder="1" applyAlignment="1">
      <alignment wrapText="1"/>
    </xf>
    <xf numFmtId="0" fontId="10" fillId="0" borderId="2" xfId="45" applyFont="1" applyFill="1" applyBorder="1" applyAlignment="1">
      <alignment horizontal="center"/>
    </xf>
    <xf numFmtId="1" fontId="10" fillId="0" borderId="2" xfId="45" applyNumberFormat="1" applyFont="1" applyFill="1" applyBorder="1" applyAlignment="1">
      <alignment horizontal="center"/>
    </xf>
    <xf numFmtId="0" fontId="10" fillId="0" borderId="2" xfId="45" applyFont="1" applyFill="1" applyBorder="1" applyAlignment="1">
      <alignment wrapText="1"/>
    </xf>
    <xf numFmtId="0" fontId="0" fillId="0" borderId="25" xfId="45" applyNumberFormat="1" applyFont="1" applyBorder="1" applyAlignment="1">
      <alignment wrapText="1"/>
    </xf>
    <xf numFmtId="164" fontId="1" fillId="0" borderId="2" xfId="6" applyNumberFormat="1" applyFont="1" applyBorder="1"/>
    <xf numFmtId="0" fontId="13" fillId="0" borderId="0" xfId="0" applyFont="1"/>
    <xf numFmtId="0" fontId="13" fillId="0" borderId="0" xfId="0" applyFont="1" applyAlignment="1">
      <alignment wrapText="1"/>
    </xf>
    <xf numFmtId="0" fontId="14" fillId="3" borderId="2" xfId="0" applyFont="1" applyFill="1" applyBorder="1" applyAlignment="1">
      <alignment horizontal="center" wrapText="1"/>
    </xf>
    <xf numFmtId="0" fontId="13" fillId="2" borderId="5" xfId="0" applyFont="1" applyFill="1" applyBorder="1" applyAlignment="1">
      <alignment wrapText="1"/>
    </xf>
    <xf numFmtId="0" fontId="15" fillId="0" borderId="0" xfId="0" applyFont="1"/>
    <xf numFmtId="0" fontId="16" fillId="0" borderId="2" xfId="0" applyFont="1" applyBorder="1" applyAlignment="1">
      <alignment wrapText="1"/>
    </xf>
    <xf numFmtId="3" fontId="16" fillId="0" borderId="2" xfId="1" applyNumberFormat="1" applyFont="1" applyBorder="1" applyAlignment="1">
      <alignment horizontal="right"/>
    </xf>
    <xf numFmtId="3" fontId="16" fillId="0" borderId="2" xfId="1" applyNumberFormat="1" applyFont="1" applyFill="1" applyBorder="1" applyAlignment="1">
      <alignment horizontal="right"/>
    </xf>
    <xf numFmtId="0" fontId="17" fillId="2" borderId="2" xfId="45" applyFont="1" applyFill="1" applyBorder="1" applyAlignment="1" applyProtection="1">
      <alignment horizontal="right" wrapText="1"/>
      <protection locked="0"/>
    </xf>
    <xf numFmtId="0" fontId="18" fillId="2" borderId="2" xfId="45" applyFont="1" applyFill="1" applyBorder="1" applyAlignment="1" applyProtection="1">
      <alignment horizontal="right" wrapText="1"/>
      <protection locked="0"/>
    </xf>
    <xf numFmtId="0" fontId="19" fillId="2" borderId="2" xfId="45" applyFont="1" applyFill="1" applyBorder="1" applyAlignment="1" applyProtection="1">
      <alignment horizontal="right" wrapText="1"/>
      <protection locked="0"/>
    </xf>
    <xf numFmtId="0" fontId="21" fillId="2" borderId="19" xfId="0" applyFont="1" applyFill="1" applyBorder="1" applyAlignment="1">
      <alignment horizontal="right" vertical="center" wrapText="1"/>
    </xf>
    <xf numFmtId="0" fontId="8" fillId="0" borderId="0" xfId="45" applyFont="1" applyFill="1" applyBorder="1" applyAlignment="1">
      <alignment wrapText="1"/>
    </xf>
    <xf numFmtId="0" fontId="19" fillId="0" borderId="2" xfId="45" applyFont="1" applyFill="1" applyBorder="1" applyAlignment="1">
      <alignment wrapText="1"/>
    </xf>
    <xf numFmtId="0" fontId="1" fillId="0" borderId="2" xfId="45" applyBorder="1" applyAlignment="1">
      <alignment wrapText="1"/>
    </xf>
    <xf numFmtId="164" fontId="8" fillId="0" borderId="2" xfId="6" applyNumberFormat="1" applyFont="1" applyFill="1" applyBorder="1" applyAlignment="1">
      <alignment wrapText="1"/>
    </xf>
    <xf numFmtId="3" fontId="1" fillId="0" borderId="2" xfId="6" applyNumberFormat="1" applyFont="1" applyBorder="1"/>
    <xf numFmtId="0" fontId="0" fillId="0" borderId="2" xfId="45" applyFont="1" applyBorder="1" applyAlignment="1">
      <alignment wrapText="1"/>
    </xf>
    <xf numFmtId="9" fontId="1" fillId="0" borderId="2" xfId="26" applyFont="1" applyBorder="1"/>
    <xf numFmtId="9" fontId="1" fillId="0" borderId="2" xfId="26" applyNumberFormat="1" applyFont="1" applyBorder="1"/>
    <xf numFmtId="0" fontId="0" fillId="0" borderId="26" xfId="45" applyNumberFormat="1" applyFont="1" applyBorder="1" applyAlignment="1">
      <alignment wrapText="1"/>
    </xf>
    <xf numFmtId="164" fontId="0" fillId="0" borderId="0" xfId="45" applyNumberFormat="1" applyFont="1" applyBorder="1"/>
    <xf numFmtId="43" fontId="1" fillId="0" borderId="0" xfId="1" applyBorder="1"/>
    <xf numFmtId="0" fontId="22" fillId="0" borderId="0" xfId="48"/>
    <xf numFmtId="0" fontId="8" fillId="0" borderId="2" xfId="6" applyNumberFormat="1" applyFont="1" applyFill="1" applyBorder="1" applyAlignment="1"/>
    <xf numFmtId="0" fontId="8" fillId="0" borderId="2" xfId="6" applyNumberFormat="1" applyFont="1" applyFill="1" applyBorder="1" applyAlignment="1">
      <alignment wrapText="1"/>
    </xf>
    <xf numFmtId="3" fontId="0" fillId="0" borderId="0" xfId="0" applyNumberFormat="1" applyAlignment="1">
      <alignment wrapText="1"/>
    </xf>
    <xf numFmtId="38" fontId="0" fillId="0" borderId="0" xfId="0" applyNumberFormat="1" applyAlignment="1">
      <alignment wrapText="1"/>
    </xf>
    <xf numFmtId="9" fontId="0" fillId="0" borderId="0" xfId="0" applyNumberFormat="1" applyAlignment="1">
      <alignment wrapText="1"/>
    </xf>
    <xf numFmtId="1" fontId="8" fillId="0" borderId="2" xfId="45" applyNumberFormat="1" applyFont="1" applyFill="1" applyBorder="1" applyAlignment="1">
      <alignment horizontal="center"/>
    </xf>
    <xf numFmtId="0" fontId="8" fillId="0" borderId="2" xfId="45" applyFont="1" applyFill="1" applyBorder="1" applyAlignment="1">
      <alignment horizontal="center"/>
    </xf>
    <xf numFmtId="0" fontId="14" fillId="0" borderId="0" xfId="0" applyFont="1"/>
    <xf numFmtId="0" fontId="9" fillId="2" borderId="4" xfId="45" applyFont="1" applyFill="1" applyBorder="1" applyAlignment="1">
      <alignment horizontal="center"/>
    </xf>
    <xf numFmtId="0" fontId="21" fillId="2" borderId="19" xfId="0" applyFont="1" applyFill="1" applyBorder="1" applyAlignment="1">
      <alignment horizontal="right" wrapText="1"/>
    </xf>
    <xf numFmtId="0" fontId="17" fillId="2" borderId="27" xfId="45" applyFont="1" applyFill="1" applyBorder="1" applyAlignment="1" applyProtection="1">
      <alignment horizontal="right" wrapText="1"/>
      <protection locked="0"/>
    </xf>
    <xf numFmtId="0" fontId="17" fillId="2" borderId="19" xfId="45" applyFont="1" applyFill="1" applyBorder="1" applyAlignment="1" applyProtection="1">
      <alignment horizontal="right" wrapText="1"/>
      <protection locked="0"/>
    </xf>
    <xf numFmtId="0" fontId="9" fillId="2" borderId="25" xfId="45" applyFont="1" applyFill="1" applyBorder="1" applyAlignment="1">
      <alignment horizontal="center"/>
    </xf>
    <xf numFmtId="0" fontId="14" fillId="0" borderId="0" xfId="0" applyFont="1" applyAlignment="1">
      <alignment wrapText="1"/>
    </xf>
    <xf numFmtId="0" fontId="5" fillId="0" borderId="0" xfId="31" applyFont="1" applyAlignment="1">
      <alignment horizontal="center" vertical="center"/>
    </xf>
    <xf numFmtId="0" fontId="25" fillId="0" borderId="0" xfId="48" applyFont="1" applyAlignment="1">
      <alignment horizontal="center"/>
    </xf>
    <xf numFmtId="0" fontId="0" fillId="0" borderId="0" xfId="0" applyAlignment="1">
      <alignment horizontal="center" vertical="center"/>
    </xf>
    <xf numFmtId="0" fontId="24" fillId="0" borderId="0" xfId="0" applyFont="1" applyAlignment="1">
      <alignment horizontal="center" vertical="center"/>
    </xf>
    <xf numFmtId="0" fontId="25" fillId="0" borderId="0" xfId="48" applyFont="1" applyAlignment="1">
      <alignment horizontal="center" vertical="center"/>
    </xf>
    <xf numFmtId="0" fontId="14" fillId="3" borderId="2" xfId="0" applyFont="1" applyFill="1" applyBorder="1" applyAlignment="1">
      <alignment horizontal="center"/>
    </xf>
    <xf numFmtId="0" fontId="14" fillId="3" borderId="7" xfId="0" applyFont="1" applyFill="1" applyBorder="1" applyAlignment="1">
      <alignment horizontal="center" wrapText="1"/>
    </xf>
    <xf numFmtId="0" fontId="14" fillId="3" borderId="23" xfId="0" applyFont="1" applyFill="1" applyBorder="1" applyAlignment="1">
      <alignment horizontal="center" wrapText="1"/>
    </xf>
    <xf numFmtId="0" fontId="9" fillId="2" borderId="3" xfId="45" applyFont="1" applyFill="1" applyBorder="1" applyAlignment="1">
      <alignment horizontal="center"/>
    </xf>
    <xf numFmtId="0" fontId="9" fillId="2" borderId="8" xfId="45" applyFont="1" applyFill="1" applyBorder="1" applyAlignment="1">
      <alignment horizontal="center"/>
    </xf>
    <xf numFmtId="0" fontId="9" fillId="2" borderId="4" xfId="45" applyFont="1" applyFill="1" applyBorder="1" applyAlignment="1">
      <alignment horizontal="center"/>
    </xf>
    <xf numFmtId="0" fontId="12" fillId="2" borderId="3" xfId="0" applyFont="1" applyFill="1" applyBorder="1" applyAlignment="1">
      <alignment horizontal="center" wrapText="1"/>
    </xf>
    <xf numFmtId="0" fontId="12" fillId="2" borderId="4" xfId="0" applyFont="1" applyFill="1" applyBorder="1" applyAlignment="1">
      <alignment horizontal="center" wrapText="1"/>
    </xf>
    <xf numFmtId="164" fontId="0" fillId="2" borderId="3" xfId="45" applyNumberFormat="1" applyFont="1" applyFill="1" applyBorder="1" applyAlignment="1">
      <alignment horizontal="right" wrapText="1"/>
    </xf>
    <xf numFmtId="0" fontId="0" fillId="0" borderId="8" xfId="0" applyBorder="1" applyAlignment="1">
      <alignment wrapText="1"/>
    </xf>
    <xf numFmtId="0" fontId="0" fillId="0" borderId="4" xfId="0" applyBorder="1" applyAlignment="1">
      <alignment wrapText="1"/>
    </xf>
    <xf numFmtId="0" fontId="0" fillId="0" borderId="8" xfId="0" applyBorder="1" applyAlignment="1">
      <alignment horizontal="center"/>
    </xf>
    <xf numFmtId="0" fontId="8" fillId="0" borderId="7" xfId="6" applyNumberFormat="1" applyFont="1" applyFill="1" applyBorder="1" applyAlignment="1">
      <alignment horizontal="left" vertical="top" wrapText="1"/>
    </xf>
    <xf numFmtId="0" fontId="8" fillId="0" borderId="6" xfId="6" applyNumberFormat="1" applyFont="1" applyFill="1" applyBorder="1" applyAlignment="1">
      <alignment horizontal="left" vertical="top" wrapText="1"/>
    </xf>
    <xf numFmtId="0" fontId="8" fillId="0" borderId="23" xfId="6" applyNumberFormat="1" applyFont="1" applyFill="1" applyBorder="1" applyAlignment="1">
      <alignment horizontal="left" vertical="top" wrapText="1"/>
    </xf>
    <xf numFmtId="0" fontId="8" fillId="0" borderId="28" xfId="45" applyFont="1" applyFill="1" applyBorder="1" applyAlignment="1">
      <alignment horizontal="left" wrapText="1"/>
    </xf>
    <xf numFmtId="0" fontId="8" fillId="0" borderId="29" xfId="45" applyFont="1" applyFill="1" applyBorder="1" applyAlignment="1">
      <alignment horizontal="left" wrapText="1"/>
    </xf>
  </cellXfs>
  <cellStyles count="49">
    <cellStyle name="Comma" xfId="1" builtinId="3"/>
    <cellStyle name="Comma 10" xfId="12"/>
    <cellStyle name="Comma 100" xfId="6"/>
    <cellStyle name="Comma 2" xfId="3"/>
    <cellStyle name="Comma 2 10" xfId="30"/>
    <cellStyle name="Comma 2 2" xfId="34"/>
    <cellStyle name="Comma 3" xfId="4"/>
    <cellStyle name="Comma 3 13" xfId="44"/>
    <cellStyle name="Comma 91" xfId="8"/>
    <cellStyle name="Comma0" xfId="36"/>
    <cellStyle name="Currency0" xfId="37"/>
    <cellStyle name="Date" xfId="38"/>
    <cellStyle name="Fixed" xfId="39"/>
    <cellStyle name="Hyperlink" xfId="48" builtinId="8"/>
    <cellStyle name="Normal" xfId="0" builtinId="0"/>
    <cellStyle name="Normal 10" xfId="28"/>
    <cellStyle name="Normal 103 2" xfId="14"/>
    <cellStyle name="Normal 105 2" xfId="15"/>
    <cellStyle name="Normal 110 3" xfId="10"/>
    <cellStyle name="Normal 111 3" xfId="17"/>
    <cellStyle name="Normal 112 3" xfId="9"/>
    <cellStyle name="Normal 124" xfId="13"/>
    <cellStyle name="Normal 140" xfId="11"/>
    <cellStyle name="Normal 142" xfId="16"/>
    <cellStyle name="Normal 143 2" xfId="45"/>
    <cellStyle name="Normal 145" xfId="46"/>
    <cellStyle name="Normal 2" xfId="2"/>
    <cellStyle name="Normal 2 10" xfId="29"/>
    <cellStyle name="Normal 2 2" xfId="5"/>
    <cellStyle name="Normal 2 2 13" xfId="43"/>
    <cellStyle name="Normal 2 2 32" xfId="7"/>
    <cellStyle name="Normal 22" xfId="20"/>
    <cellStyle name="Normal 26" xfId="21"/>
    <cellStyle name="Normal 3" xfId="27"/>
    <cellStyle name="Normal 33" xfId="19"/>
    <cellStyle name="Normal 34" xfId="22"/>
    <cellStyle name="Normal 35" xfId="23"/>
    <cellStyle name="Normal 36" xfId="24"/>
    <cellStyle name="Normal 37" xfId="25"/>
    <cellStyle name="Normal 4" xfId="18"/>
    <cellStyle name="Normal 5" xfId="40"/>
    <cellStyle name="Normal 7" xfId="41"/>
    <cellStyle name="Normal 8" xfId="42"/>
    <cellStyle name="Normal_AppendixF1" xfId="33"/>
    <cellStyle name="Normal_CED 2002 consumption" xfId="32"/>
    <cellStyle name="Normal_Form 1.4NetPeak" xfId="31"/>
    <cellStyle name="Percent" xfId="26" builtinId="5"/>
    <cellStyle name="Percent 2" xfId="35"/>
    <cellStyle name="Percent 3"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5.xml"/><Relationship Id="rId68"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2.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4.xml"/><Relationship Id="rId7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r02\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ED%202005\F&amp;I\2004-10-25_DEMAND_FORM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knox\AppData\Local\Temp\V1_+2015+Liberty+Utilities_Workbook+1+EPE+Importers+and+Exporter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wknox\AppData\Local\Temp\SPPCWorkbook_1_EPE_Importers_and_Exporters_v3_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UNIT_320\CED%202009\Revised\ControlAreaworkfiles\revisedEnergyandPeakforecastbyL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1.1"/>
      <sheetName val="Form1.2"/>
      <sheetName val="Form1.3"/>
      <sheetName val="Form1.4"/>
      <sheetName val="Form1.5"/>
      <sheetName val="Form1.6"/>
      <sheetName val="Form1.7"/>
      <sheetName val="Form2.1"/>
      <sheetName val="Form2.2"/>
      <sheetName val="Form2.3"/>
      <sheetName val="Form2.4"/>
      <sheetName val="Form3.1a"/>
      <sheetName val="Form3.1b"/>
      <sheetName val="Form3.2"/>
      <sheetName val="Form3.3"/>
      <sheetName val="Form3.4"/>
    </sheetNames>
    <sheetDataSet>
      <sheetData sheetId="0" refreshError="1"/>
      <sheetData sheetId="1" refreshError="1">
        <row r="3">
          <cell r="C3"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sion"/>
      <sheetName val="Guidance "/>
      <sheetName val="Data Export XML"/>
      <sheetName val="Reporter Info"/>
      <sheetName val="COVERED EM CALC"/>
      <sheetName val="Retail Provider"/>
      <sheetName val="CAISO Sales"/>
      <sheetName val="Unspec Imports"/>
      <sheetName val="Spec Imports"/>
      <sheetName val="RPS Adjust"/>
      <sheetName val="REC Serial"/>
      <sheetName val="QE Adjust"/>
      <sheetName val="Unspec Exports"/>
      <sheetName val="Spec Exports"/>
      <sheetName val="Wheeled"/>
      <sheetName val="POR.POD"/>
      <sheetName val="EF List"/>
      <sheetName val="Other 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
          <cell r="C6" t="str">
            <v/>
          </cell>
        </row>
        <row r="7">
          <cell r="C7" t="str">
            <v/>
          </cell>
        </row>
        <row r="8">
          <cell r="C8" t="str">
            <v/>
          </cell>
        </row>
        <row r="9">
          <cell r="C9" t="str">
            <v/>
          </cell>
        </row>
        <row r="10">
          <cell r="C10" t="str">
            <v/>
          </cell>
        </row>
        <row r="11">
          <cell r="C11" t="str">
            <v/>
          </cell>
        </row>
        <row r="12">
          <cell r="C12" t="str">
            <v/>
          </cell>
        </row>
        <row r="13">
          <cell r="C13" t="str">
            <v/>
          </cell>
        </row>
        <row r="14">
          <cell r="C14" t="str">
            <v/>
          </cell>
        </row>
        <row r="15">
          <cell r="C15" t="str">
            <v/>
          </cell>
        </row>
        <row r="16">
          <cell r="C16" t="str">
            <v/>
          </cell>
        </row>
        <row r="17">
          <cell r="C17" t="str">
            <v/>
          </cell>
        </row>
        <row r="18">
          <cell r="C18" t="str">
            <v/>
          </cell>
        </row>
        <row r="19">
          <cell r="C19" t="str">
            <v/>
          </cell>
        </row>
        <row r="20">
          <cell r="C20" t="str">
            <v/>
          </cell>
        </row>
        <row r="21">
          <cell r="C21" t="str">
            <v/>
          </cell>
        </row>
        <row r="22">
          <cell r="C22" t="str">
            <v/>
          </cell>
        </row>
        <row r="23">
          <cell r="C23" t="str">
            <v/>
          </cell>
        </row>
        <row r="24">
          <cell r="C24" t="str">
            <v/>
          </cell>
        </row>
        <row r="25">
          <cell r="C25" t="str">
            <v/>
          </cell>
        </row>
        <row r="26">
          <cell r="C26" t="str">
            <v/>
          </cell>
        </row>
        <row r="27">
          <cell r="C27" t="str">
            <v/>
          </cell>
        </row>
        <row r="28">
          <cell r="C28" t="str">
            <v/>
          </cell>
        </row>
        <row r="29">
          <cell r="C29" t="str">
            <v/>
          </cell>
        </row>
        <row r="30">
          <cell r="C30" t="str">
            <v/>
          </cell>
        </row>
        <row r="31">
          <cell r="C31" t="str">
            <v/>
          </cell>
        </row>
        <row r="32">
          <cell r="C32" t="str">
            <v/>
          </cell>
        </row>
        <row r="33">
          <cell r="C33" t="str">
            <v/>
          </cell>
        </row>
        <row r="34">
          <cell r="C34" t="str">
            <v/>
          </cell>
        </row>
        <row r="35">
          <cell r="C35" t="str">
            <v/>
          </cell>
        </row>
        <row r="36">
          <cell r="C36" t="str">
            <v/>
          </cell>
        </row>
        <row r="37">
          <cell r="C37" t="str">
            <v/>
          </cell>
        </row>
        <row r="38">
          <cell r="C38" t="str">
            <v/>
          </cell>
        </row>
        <row r="39">
          <cell r="C39" t="str">
            <v/>
          </cell>
        </row>
        <row r="40">
          <cell r="C40" t="str">
            <v/>
          </cell>
        </row>
        <row r="41">
          <cell r="C41" t="str">
            <v/>
          </cell>
        </row>
        <row r="42">
          <cell r="C42" t="str">
            <v/>
          </cell>
        </row>
        <row r="43">
          <cell r="C43" t="str">
            <v/>
          </cell>
        </row>
        <row r="44">
          <cell r="C44" t="str">
            <v/>
          </cell>
        </row>
        <row r="45">
          <cell r="C45" t="str">
            <v/>
          </cell>
        </row>
        <row r="46">
          <cell r="C46" t="str">
            <v/>
          </cell>
        </row>
        <row r="47">
          <cell r="C47" t="str">
            <v/>
          </cell>
        </row>
        <row r="48">
          <cell r="C48" t="str">
            <v/>
          </cell>
        </row>
        <row r="49">
          <cell r="C49" t="str">
            <v/>
          </cell>
        </row>
        <row r="50">
          <cell r="C50" t="str">
            <v/>
          </cell>
        </row>
        <row r="51">
          <cell r="C51" t="str">
            <v/>
          </cell>
        </row>
        <row r="52">
          <cell r="C52" t="str">
            <v/>
          </cell>
        </row>
        <row r="53">
          <cell r="C53" t="str">
            <v/>
          </cell>
        </row>
        <row r="54">
          <cell r="C54" t="str">
            <v/>
          </cell>
        </row>
        <row r="55">
          <cell r="C55" t="str">
            <v/>
          </cell>
        </row>
        <row r="56">
          <cell r="C56" t="str">
            <v/>
          </cell>
        </row>
        <row r="57">
          <cell r="C57" t="str">
            <v/>
          </cell>
        </row>
        <row r="58">
          <cell r="C58" t="str">
            <v/>
          </cell>
        </row>
        <row r="59">
          <cell r="C59" t="str">
            <v/>
          </cell>
        </row>
        <row r="60">
          <cell r="C60" t="str">
            <v/>
          </cell>
        </row>
        <row r="61">
          <cell r="C61" t="str">
            <v/>
          </cell>
        </row>
        <row r="62">
          <cell r="C62" t="str">
            <v/>
          </cell>
        </row>
        <row r="63">
          <cell r="C63" t="str">
            <v/>
          </cell>
        </row>
        <row r="64">
          <cell r="C64" t="str">
            <v/>
          </cell>
        </row>
        <row r="65">
          <cell r="C65" t="str">
            <v/>
          </cell>
        </row>
        <row r="66">
          <cell r="C66" t="str">
            <v/>
          </cell>
        </row>
        <row r="67">
          <cell r="C67" t="str">
            <v/>
          </cell>
        </row>
        <row r="68">
          <cell r="C68" t="str">
            <v/>
          </cell>
        </row>
        <row r="69">
          <cell r="C69" t="str">
            <v/>
          </cell>
        </row>
        <row r="70">
          <cell r="C70" t="str">
            <v/>
          </cell>
        </row>
        <row r="71">
          <cell r="C71" t="str">
            <v/>
          </cell>
        </row>
        <row r="72">
          <cell r="C72" t="str">
            <v/>
          </cell>
        </row>
        <row r="73">
          <cell r="C73" t="str">
            <v/>
          </cell>
        </row>
        <row r="74">
          <cell r="C74" t="str">
            <v/>
          </cell>
        </row>
        <row r="75">
          <cell r="C75" t="str">
            <v/>
          </cell>
        </row>
        <row r="76">
          <cell r="C76" t="str">
            <v/>
          </cell>
        </row>
        <row r="77">
          <cell r="C77" t="str">
            <v/>
          </cell>
        </row>
        <row r="78">
          <cell r="C78" t="str">
            <v/>
          </cell>
        </row>
        <row r="79">
          <cell r="C79" t="str">
            <v/>
          </cell>
        </row>
        <row r="80">
          <cell r="C80" t="str">
            <v/>
          </cell>
        </row>
        <row r="81">
          <cell r="C81" t="str">
            <v/>
          </cell>
        </row>
        <row r="82">
          <cell r="C82" t="str">
            <v/>
          </cell>
        </row>
        <row r="83">
          <cell r="C83" t="str">
            <v/>
          </cell>
        </row>
        <row r="84">
          <cell r="C84" t="str">
            <v/>
          </cell>
        </row>
        <row r="85">
          <cell r="C85" t="str">
            <v/>
          </cell>
        </row>
        <row r="86">
          <cell r="C86" t="str">
            <v/>
          </cell>
        </row>
        <row r="87">
          <cell r="C87" t="str">
            <v/>
          </cell>
        </row>
        <row r="88">
          <cell r="C88" t="str">
            <v/>
          </cell>
        </row>
        <row r="89">
          <cell r="C89" t="str">
            <v/>
          </cell>
        </row>
        <row r="90">
          <cell r="C90" t="str">
            <v/>
          </cell>
        </row>
        <row r="91">
          <cell r="C91" t="str">
            <v/>
          </cell>
        </row>
        <row r="92">
          <cell r="C92" t="str">
            <v/>
          </cell>
        </row>
        <row r="93">
          <cell r="C93" t="str">
            <v/>
          </cell>
        </row>
        <row r="94">
          <cell r="C94" t="str">
            <v/>
          </cell>
        </row>
        <row r="95">
          <cell r="C95" t="str">
            <v/>
          </cell>
        </row>
        <row r="96">
          <cell r="C96" t="str">
            <v/>
          </cell>
        </row>
        <row r="97">
          <cell r="C97" t="str">
            <v/>
          </cell>
        </row>
        <row r="98">
          <cell r="C98" t="str">
            <v/>
          </cell>
        </row>
        <row r="99">
          <cell r="C99" t="str">
            <v/>
          </cell>
        </row>
        <row r="100">
          <cell r="C100" t="str">
            <v/>
          </cell>
        </row>
        <row r="101">
          <cell r="C101" t="str">
            <v/>
          </cell>
        </row>
        <row r="102">
          <cell r="C102" t="str">
            <v/>
          </cell>
        </row>
        <row r="103">
          <cell r="C103" t="str">
            <v/>
          </cell>
        </row>
        <row r="104">
          <cell r="C104" t="str">
            <v/>
          </cell>
        </row>
        <row r="105">
          <cell r="C105" t="str">
            <v/>
          </cell>
        </row>
        <row r="106">
          <cell r="C106" t="str">
            <v/>
          </cell>
        </row>
        <row r="107">
          <cell r="C107" t="str">
            <v/>
          </cell>
        </row>
        <row r="108">
          <cell r="C108" t="str">
            <v/>
          </cell>
        </row>
        <row r="109">
          <cell r="C109" t="str">
            <v/>
          </cell>
        </row>
        <row r="110">
          <cell r="C110" t="str">
            <v/>
          </cell>
        </row>
        <row r="111">
          <cell r="C111" t="str">
            <v/>
          </cell>
        </row>
        <row r="112">
          <cell r="C112" t="str">
            <v/>
          </cell>
        </row>
        <row r="113">
          <cell r="C113" t="str">
            <v/>
          </cell>
        </row>
        <row r="114">
          <cell r="C114" t="str">
            <v/>
          </cell>
        </row>
        <row r="115">
          <cell r="C115" t="str">
            <v/>
          </cell>
        </row>
        <row r="116">
          <cell r="C116" t="str">
            <v/>
          </cell>
        </row>
        <row r="117">
          <cell r="C117" t="str">
            <v/>
          </cell>
        </row>
        <row r="118">
          <cell r="C118" t="str">
            <v/>
          </cell>
        </row>
        <row r="119">
          <cell r="C119" t="str">
            <v/>
          </cell>
        </row>
        <row r="120">
          <cell r="C120" t="str">
            <v/>
          </cell>
        </row>
        <row r="121">
          <cell r="C121" t="str">
            <v/>
          </cell>
        </row>
        <row r="122">
          <cell r="C122" t="str">
            <v/>
          </cell>
        </row>
        <row r="123">
          <cell r="C123" t="str">
            <v/>
          </cell>
        </row>
        <row r="124">
          <cell r="C124" t="str">
            <v/>
          </cell>
        </row>
        <row r="125">
          <cell r="C125" t="str">
            <v/>
          </cell>
        </row>
        <row r="126">
          <cell r="C126" t="str">
            <v/>
          </cell>
        </row>
        <row r="127">
          <cell r="C127" t="str">
            <v/>
          </cell>
        </row>
        <row r="128">
          <cell r="C128" t="str">
            <v/>
          </cell>
        </row>
        <row r="129">
          <cell r="C129" t="str">
            <v/>
          </cell>
        </row>
        <row r="130">
          <cell r="C130" t="str">
            <v/>
          </cell>
        </row>
        <row r="131">
          <cell r="C131" t="str">
            <v/>
          </cell>
        </row>
        <row r="132">
          <cell r="C132" t="str">
            <v/>
          </cell>
        </row>
        <row r="133">
          <cell r="C133" t="str">
            <v/>
          </cell>
        </row>
        <row r="134">
          <cell r="C134" t="str">
            <v/>
          </cell>
        </row>
        <row r="135">
          <cell r="C135" t="str">
            <v/>
          </cell>
        </row>
        <row r="136">
          <cell r="C136" t="str">
            <v/>
          </cell>
        </row>
        <row r="137">
          <cell r="C137" t="str">
            <v/>
          </cell>
        </row>
        <row r="138">
          <cell r="C138" t="str">
            <v/>
          </cell>
        </row>
        <row r="139">
          <cell r="C139" t="str">
            <v/>
          </cell>
        </row>
        <row r="140">
          <cell r="C140" t="str">
            <v/>
          </cell>
        </row>
        <row r="141">
          <cell r="C141" t="str">
            <v/>
          </cell>
        </row>
        <row r="142">
          <cell r="C142" t="str">
            <v/>
          </cell>
        </row>
        <row r="143">
          <cell r="C143" t="str">
            <v/>
          </cell>
        </row>
        <row r="144">
          <cell r="C144" t="str">
            <v/>
          </cell>
        </row>
        <row r="145">
          <cell r="C145" t="str">
            <v/>
          </cell>
        </row>
        <row r="146">
          <cell r="C146" t="str">
            <v/>
          </cell>
        </row>
        <row r="147">
          <cell r="C147" t="str">
            <v/>
          </cell>
        </row>
        <row r="148">
          <cell r="C148" t="str">
            <v/>
          </cell>
        </row>
        <row r="149">
          <cell r="C149" t="str">
            <v/>
          </cell>
        </row>
        <row r="150">
          <cell r="C150" t="str">
            <v/>
          </cell>
        </row>
        <row r="151">
          <cell r="C151" t="str">
            <v/>
          </cell>
        </row>
        <row r="152">
          <cell r="C152" t="str">
            <v/>
          </cell>
        </row>
        <row r="153">
          <cell r="C153" t="str">
            <v/>
          </cell>
        </row>
        <row r="154">
          <cell r="C154" t="str">
            <v/>
          </cell>
        </row>
        <row r="155">
          <cell r="C155" t="str">
            <v/>
          </cell>
        </row>
        <row r="156">
          <cell r="C156" t="str">
            <v/>
          </cell>
        </row>
        <row r="157">
          <cell r="C157" t="str">
            <v/>
          </cell>
        </row>
        <row r="158">
          <cell r="C158" t="str">
            <v/>
          </cell>
        </row>
        <row r="159">
          <cell r="C159" t="str">
            <v/>
          </cell>
        </row>
        <row r="160">
          <cell r="C160" t="str">
            <v/>
          </cell>
        </row>
        <row r="161">
          <cell r="C161" t="str">
            <v/>
          </cell>
        </row>
        <row r="162">
          <cell r="C162" t="str">
            <v/>
          </cell>
        </row>
        <row r="163">
          <cell r="C163" t="str">
            <v/>
          </cell>
        </row>
        <row r="164">
          <cell r="C164" t="str">
            <v/>
          </cell>
        </row>
        <row r="165">
          <cell r="C165" t="str">
            <v/>
          </cell>
        </row>
        <row r="166">
          <cell r="C166" t="str">
            <v/>
          </cell>
        </row>
        <row r="167">
          <cell r="C167" t="str">
            <v/>
          </cell>
        </row>
        <row r="168">
          <cell r="C168" t="str">
            <v/>
          </cell>
        </row>
        <row r="169">
          <cell r="C169" t="str">
            <v/>
          </cell>
        </row>
        <row r="170">
          <cell r="C170" t="str">
            <v/>
          </cell>
        </row>
        <row r="171">
          <cell r="C171" t="str">
            <v/>
          </cell>
        </row>
        <row r="172">
          <cell r="C172" t="str">
            <v/>
          </cell>
        </row>
        <row r="173">
          <cell r="C173" t="str">
            <v/>
          </cell>
        </row>
        <row r="174">
          <cell r="C174" t="str">
            <v/>
          </cell>
        </row>
        <row r="175">
          <cell r="C175" t="str">
            <v/>
          </cell>
        </row>
        <row r="176">
          <cell r="C176" t="str">
            <v/>
          </cell>
        </row>
        <row r="177">
          <cell r="C177" t="str">
            <v/>
          </cell>
        </row>
        <row r="178">
          <cell r="C178" t="str">
            <v/>
          </cell>
        </row>
        <row r="179">
          <cell r="C179" t="str">
            <v/>
          </cell>
        </row>
        <row r="180">
          <cell r="C180" t="str">
            <v/>
          </cell>
        </row>
        <row r="181">
          <cell r="C181" t="str">
            <v/>
          </cell>
        </row>
        <row r="182">
          <cell r="C182" t="str">
            <v/>
          </cell>
        </row>
        <row r="183">
          <cell r="C183" t="str">
            <v/>
          </cell>
        </row>
        <row r="184">
          <cell r="C184" t="str">
            <v/>
          </cell>
        </row>
        <row r="185">
          <cell r="C185" t="str">
            <v/>
          </cell>
        </row>
        <row r="186">
          <cell r="C186" t="str">
            <v/>
          </cell>
        </row>
        <row r="187">
          <cell r="C187" t="str">
            <v/>
          </cell>
        </row>
        <row r="188">
          <cell r="C188" t="str">
            <v/>
          </cell>
        </row>
        <row r="189">
          <cell r="C189" t="str">
            <v/>
          </cell>
        </row>
        <row r="190">
          <cell r="C190" t="str">
            <v/>
          </cell>
        </row>
        <row r="191">
          <cell r="C191" t="str">
            <v/>
          </cell>
        </row>
        <row r="192">
          <cell r="C192" t="str">
            <v/>
          </cell>
        </row>
        <row r="193">
          <cell r="C193" t="str">
            <v/>
          </cell>
        </row>
        <row r="194">
          <cell r="C194" t="str">
            <v/>
          </cell>
        </row>
        <row r="195">
          <cell r="C195" t="str">
            <v/>
          </cell>
        </row>
        <row r="196">
          <cell r="C196" t="str">
            <v/>
          </cell>
        </row>
        <row r="197">
          <cell r="C197" t="str">
            <v/>
          </cell>
        </row>
        <row r="198">
          <cell r="C198" t="str">
            <v/>
          </cell>
        </row>
        <row r="199">
          <cell r="C199" t="str">
            <v/>
          </cell>
        </row>
        <row r="200">
          <cell r="C200" t="str">
            <v/>
          </cell>
        </row>
        <row r="201">
          <cell r="C201" t="str">
            <v/>
          </cell>
        </row>
        <row r="202">
          <cell r="C202" t="str">
            <v/>
          </cell>
        </row>
        <row r="203">
          <cell r="C203" t="str">
            <v/>
          </cell>
        </row>
        <row r="204">
          <cell r="C204" t="str">
            <v/>
          </cell>
        </row>
        <row r="205">
          <cell r="C205" t="str">
            <v/>
          </cell>
        </row>
        <row r="206">
          <cell r="C206" t="str">
            <v/>
          </cell>
        </row>
        <row r="207">
          <cell r="C207" t="str">
            <v/>
          </cell>
        </row>
        <row r="208">
          <cell r="C208" t="str">
            <v/>
          </cell>
        </row>
        <row r="209">
          <cell r="C209" t="str">
            <v/>
          </cell>
        </row>
        <row r="210">
          <cell r="C210" t="str">
            <v/>
          </cell>
        </row>
        <row r="211">
          <cell r="C211" t="str">
            <v/>
          </cell>
        </row>
        <row r="212">
          <cell r="C212" t="str">
            <v/>
          </cell>
        </row>
        <row r="213">
          <cell r="C213" t="str">
            <v/>
          </cell>
        </row>
        <row r="214">
          <cell r="C214" t="str">
            <v/>
          </cell>
        </row>
        <row r="215">
          <cell r="C215" t="str">
            <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row r="257">
          <cell r="C257" t="str">
            <v/>
          </cell>
        </row>
        <row r="258">
          <cell r="C258" t="str">
            <v/>
          </cell>
        </row>
        <row r="259">
          <cell r="C259" t="str">
            <v/>
          </cell>
        </row>
        <row r="260">
          <cell r="C260" t="str">
            <v/>
          </cell>
        </row>
        <row r="261">
          <cell r="C261" t="str">
            <v/>
          </cell>
        </row>
        <row r="262">
          <cell r="C262" t="str">
            <v/>
          </cell>
        </row>
        <row r="263">
          <cell r="C263" t="str">
            <v/>
          </cell>
        </row>
        <row r="264">
          <cell r="C264" t="str">
            <v/>
          </cell>
        </row>
        <row r="265">
          <cell r="C265" t="str">
            <v/>
          </cell>
        </row>
        <row r="266">
          <cell r="C266" t="str">
            <v/>
          </cell>
        </row>
        <row r="267">
          <cell r="C267" t="str">
            <v/>
          </cell>
        </row>
        <row r="268">
          <cell r="C268" t="str">
            <v/>
          </cell>
        </row>
        <row r="269">
          <cell r="C269" t="str">
            <v/>
          </cell>
        </row>
        <row r="270">
          <cell r="C270" t="str">
            <v/>
          </cell>
        </row>
        <row r="271">
          <cell r="C271" t="str">
            <v/>
          </cell>
        </row>
        <row r="272">
          <cell r="C272" t="str">
            <v/>
          </cell>
        </row>
        <row r="273">
          <cell r="C273" t="str">
            <v/>
          </cell>
        </row>
        <row r="274">
          <cell r="C274" t="str">
            <v/>
          </cell>
        </row>
        <row r="275">
          <cell r="C275" t="str">
            <v/>
          </cell>
        </row>
        <row r="276">
          <cell r="C276" t="str">
            <v/>
          </cell>
        </row>
        <row r="277">
          <cell r="C277" t="str">
            <v/>
          </cell>
        </row>
        <row r="278">
          <cell r="C278" t="str">
            <v/>
          </cell>
        </row>
        <row r="279">
          <cell r="C279" t="str">
            <v/>
          </cell>
        </row>
        <row r="280">
          <cell r="C280" t="str">
            <v/>
          </cell>
        </row>
        <row r="281">
          <cell r="C281" t="str">
            <v/>
          </cell>
        </row>
        <row r="282">
          <cell r="C282" t="str">
            <v/>
          </cell>
        </row>
        <row r="283">
          <cell r="C283" t="str">
            <v/>
          </cell>
        </row>
        <row r="284">
          <cell r="C284" t="str">
            <v/>
          </cell>
        </row>
        <row r="285">
          <cell r="C285" t="str">
            <v/>
          </cell>
        </row>
        <row r="286">
          <cell r="C286" t="str">
            <v/>
          </cell>
        </row>
        <row r="287">
          <cell r="C287" t="str">
            <v/>
          </cell>
        </row>
        <row r="288">
          <cell r="C288" t="str">
            <v/>
          </cell>
        </row>
        <row r="289">
          <cell r="C289" t="str">
            <v/>
          </cell>
        </row>
        <row r="290">
          <cell r="C290" t="str">
            <v/>
          </cell>
        </row>
        <row r="291">
          <cell r="C291" t="str">
            <v/>
          </cell>
        </row>
        <row r="292">
          <cell r="C292" t="str">
            <v/>
          </cell>
        </row>
        <row r="293">
          <cell r="C293" t="str">
            <v/>
          </cell>
        </row>
        <row r="294">
          <cell r="C294" t="str">
            <v/>
          </cell>
        </row>
        <row r="295">
          <cell r="C295" t="str">
            <v/>
          </cell>
        </row>
        <row r="296">
          <cell r="C296" t="str">
            <v/>
          </cell>
        </row>
        <row r="297">
          <cell r="C297" t="str">
            <v/>
          </cell>
        </row>
        <row r="298">
          <cell r="C298" t="str">
            <v/>
          </cell>
        </row>
        <row r="299">
          <cell r="C299" t="str">
            <v/>
          </cell>
        </row>
        <row r="300">
          <cell r="C300" t="str">
            <v/>
          </cell>
        </row>
        <row r="301">
          <cell r="C301" t="str">
            <v/>
          </cell>
        </row>
        <row r="302">
          <cell r="C302" t="str">
            <v/>
          </cell>
        </row>
        <row r="303">
          <cell r="C303" t="str">
            <v/>
          </cell>
        </row>
        <row r="304">
          <cell r="C304" t="str">
            <v/>
          </cell>
        </row>
        <row r="305">
          <cell r="C305" t="str">
            <v/>
          </cell>
        </row>
        <row r="306">
          <cell r="C306" t="str">
            <v/>
          </cell>
        </row>
        <row r="307">
          <cell r="C307" t="str">
            <v/>
          </cell>
        </row>
        <row r="308">
          <cell r="C308" t="str">
            <v/>
          </cell>
        </row>
        <row r="309">
          <cell r="C309" t="str">
            <v/>
          </cell>
        </row>
        <row r="310">
          <cell r="C310" t="str">
            <v/>
          </cell>
        </row>
        <row r="311">
          <cell r="C311" t="str">
            <v/>
          </cell>
        </row>
        <row r="312">
          <cell r="C312" t="str">
            <v/>
          </cell>
        </row>
        <row r="313">
          <cell r="C313" t="str">
            <v/>
          </cell>
        </row>
        <row r="314">
          <cell r="C314" t="str">
            <v/>
          </cell>
        </row>
        <row r="315">
          <cell r="C315" t="str">
            <v/>
          </cell>
        </row>
        <row r="316">
          <cell r="C316" t="str">
            <v/>
          </cell>
        </row>
        <row r="317">
          <cell r="C317" t="str">
            <v/>
          </cell>
        </row>
        <row r="318">
          <cell r="C318" t="str">
            <v/>
          </cell>
        </row>
        <row r="319">
          <cell r="C319" t="str">
            <v/>
          </cell>
        </row>
        <row r="320">
          <cell r="C320" t="str">
            <v/>
          </cell>
        </row>
        <row r="321">
          <cell r="C321" t="str">
            <v/>
          </cell>
        </row>
        <row r="322">
          <cell r="C322" t="str">
            <v/>
          </cell>
        </row>
        <row r="323">
          <cell r="C323" t="str">
            <v/>
          </cell>
        </row>
        <row r="324">
          <cell r="C324" t="str">
            <v/>
          </cell>
        </row>
        <row r="325">
          <cell r="C325" t="str">
            <v/>
          </cell>
        </row>
        <row r="326">
          <cell r="C326" t="str">
            <v/>
          </cell>
        </row>
        <row r="327">
          <cell r="C327" t="str">
            <v/>
          </cell>
        </row>
        <row r="328">
          <cell r="C328" t="str">
            <v/>
          </cell>
        </row>
        <row r="329">
          <cell r="C329" t="str">
            <v/>
          </cell>
        </row>
        <row r="330">
          <cell r="C330" t="str">
            <v/>
          </cell>
        </row>
        <row r="331">
          <cell r="C331" t="str">
            <v/>
          </cell>
        </row>
        <row r="332">
          <cell r="C332" t="str">
            <v/>
          </cell>
        </row>
        <row r="333">
          <cell r="C333" t="str">
            <v/>
          </cell>
        </row>
        <row r="334">
          <cell r="C334" t="str">
            <v/>
          </cell>
        </row>
        <row r="335">
          <cell r="C335" t="str">
            <v/>
          </cell>
        </row>
        <row r="336">
          <cell r="C336" t="str">
            <v/>
          </cell>
        </row>
        <row r="337">
          <cell r="C337" t="str">
            <v/>
          </cell>
        </row>
        <row r="338">
          <cell r="C338" t="str">
            <v/>
          </cell>
        </row>
        <row r="339">
          <cell r="C339" t="str">
            <v/>
          </cell>
        </row>
        <row r="340">
          <cell r="C340" t="str">
            <v/>
          </cell>
        </row>
        <row r="341">
          <cell r="C341" t="str">
            <v/>
          </cell>
        </row>
        <row r="342">
          <cell r="C342" t="str">
            <v/>
          </cell>
        </row>
        <row r="343">
          <cell r="C343" t="str">
            <v/>
          </cell>
        </row>
        <row r="344">
          <cell r="C344" t="str">
            <v/>
          </cell>
        </row>
        <row r="345">
          <cell r="C345" t="str">
            <v/>
          </cell>
        </row>
        <row r="346">
          <cell r="C346" t="str">
            <v/>
          </cell>
        </row>
        <row r="347">
          <cell r="C347" t="str">
            <v/>
          </cell>
        </row>
        <row r="348">
          <cell r="C348" t="str">
            <v/>
          </cell>
        </row>
        <row r="349">
          <cell r="C349" t="str">
            <v/>
          </cell>
        </row>
        <row r="350">
          <cell r="C350" t="str">
            <v/>
          </cell>
        </row>
        <row r="351">
          <cell r="C351" t="str">
            <v/>
          </cell>
        </row>
        <row r="352">
          <cell r="C352" t="str">
            <v/>
          </cell>
        </row>
        <row r="353">
          <cell r="C353" t="str">
            <v/>
          </cell>
        </row>
        <row r="354">
          <cell r="C354" t="str">
            <v/>
          </cell>
        </row>
        <row r="355">
          <cell r="C355" t="str">
            <v/>
          </cell>
        </row>
        <row r="356">
          <cell r="C356" t="str">
            <v/>
          </cell>
        </row>
        <row r="357">
          <cell r="C357" t="str">
            <v/>
          </cell>
        </row>
        <row r="358">
          <cell r="C358" t="str">
            <v/>
          </cell>
        </row>
        <row r="359">
          <cell r="C359" t="str">
            <v/>
          </cell>
        </row>
        <row r="360">
          <cell r="C360" t="str">
            <v/>
          </cell>
        </row>
        <row r="361">
          <cell r="C361" t="str">
            <v/>
          </cell>
        </row>
        <row r="362">
          <cell r="C362" t="str">
            <v/>
          </cell>
        </row>
        <row r="363">
          <cell r="C363" t="str">
            <v/>
          </cell>
        </row>
        <row r="364">
          <cell r="C364" t="str">
            <v/>
          </cell>
        </row>
        <row r="365">
          <cell r="C365" t="str">
            <v/>
          </cell>
        </row>
        <row r="366">
          <cell r="C366" t="str">
            <v/>
          </cell>
        </row>
        <row r="367">
          <cell r="C367" t="str">
            <v/>
          </cell>
        </row>
        <row r="368">
          <cell r="C368" t="str">
            <v/>
          </cell>
        </row>
        <row r="369">
          <cell r="C369" t="str">
            <v/>
          </cell>
        </row>
        <row r="370">
          <cell r="C370" t="str">
            <v/>
          </cell>
        </row>
        <row r="371">
          <cell r="C371" t="str">
            <v/>
          </cell>
        </row>
        <row r="372">
          <cell r="C372" t="str">
            <v/>
          </cell>
        </row>
        <row r="373">
          <cell r="C373" t="str">
            <v/>
          </cell>
        </row>
        <row r="374">
          <cell r="C374" t="str">
            <v/>
          </cell>
        </row>
        <row r="375">
          <cell r="C375" t="str">
            <v/>
          </cell>
        </row>
        <row r="376">
          <cell r="C376" t="str">
            <v/>
          </cell>
        </row>
        <row r="377">
          <cell r="C377" t="str">
            <v/>
          </cell>
        </row>
        <row r="378">
          <cell r="C378" t="str">
            <v/>
          </cell>
        </row>
        <row r="379">
          <cell r="C379" t="str">
            <v/>
          </cell>
        </row>
        <row r="380">
          <cell r="C380" t="str">
            <v/>
          </cell>
        </row>
        <row r="381">
          <cell r="C381" t="str">
            <v/>
          </cell>
        </row>
        <row r="382">
          <cell r="C382" t="str">
            <v/>
          </cell>
        </row>
        <row r="383">
          <cell r="C383" t="str">
            <v/>
          </cell>
        </row>
        <row r="384">
          <cell r="C384" t="str">
            <v/>
          </cell>
        </row>
        <row r="385">
          <cell r="C385" t="str">
            <v/>
          </cell>
        </row>
        <row r="386">
          <cell r="C386" t="str">
            <v/>
          </cell>
        </row>
        <row r="387">
          <cell r="C387" t="str">
            <v/>
          </cell>
        </row>
        <row r="388">
          <cell r="C388" t="str">
            <v/>
          </cell>
        </row>
        <row r="389">
          <cell r="C389" t="str">
            <v/>
          </cell>
        </row>
        <row r="390">
          <cell r="C390" t="str">
            <v/>
          </cell>
        </row>
        <row r="391">
          <cell r="C391" t="str">
            <v/>
          </cell>
        </row>
        <row r="392">
          <cell r="C392" t="str">
            <v/>
          </cell>
        </row>
        <row r="393">
          <cell r="C393" t="str">
            <v/>
          </cell>
        </row>
        <row r="394">
          <cell r="C394" t="str">
            <v/>
          </cell>
        </row>
        <row r="395">
          <cell r="C395" t="str">
            <v/>
          </cell>
        </row>
        <row r="396">
          <cell r="C396" t="str">
            <v/>
          </cell>
        </row>
        <row r="397">
          <cell r="C397" t="str">
            <v/>
          </cell>
        </row>
        <row r="398">
          <cell r="C398" t="str">
            <v/>
          </cell>
        </row>
        <row r="399">
          <cell r="C399" t="str">
            <v/>
          </cell>
        </row>
        <row r="400">
          <cell r="C400" t="str">
            <v/>
          </cell>
        </row>
        <row r="401">
          <cell r="C401" t="str">
            <v/>
          </cell>
        </row>
        <row r="402">
          <cell r="C402" t="str">
            <v/>
          </cell>
        </row>
        <row r="403">
          <cell r="C403" t="str">
            <v/>
          </cell>
        </row>
        <row r="404">
          <cell r="C404" t="str">
            <v/>
          </cell>
        </row>
        <row r="405">
          <cell r="C405" t="str">
            <v/>
          </cell>
        </row>
        <row r="406">
          <cell r="C406" t="str">
            <v/>
          </cell>
        </row>
        <row r="407">
          <cell r="C407" t="str">
            <v/>
          </cell>
        </row>
        <row r="408">
          <cell r="C408" t="str">
            <v/>
          </cell>
        </row>
        <row r="409">
          <cell r="C409" t="str">
            <v/>
          </cell>
        </row>
        <row r="410">
          <cell r="C410" t="str">
            <v/>
          </cell>
        </row>
        <row r="411">
          <cell r="C411" t="str">
            <v/>
          </cell>
        </row>
        <row r="412">
          <cell r="C412" t="str">
            <v/>
          </cell>
        </row>
        <row r="413">
          <cell r="C413" t="str">
            <v/>
          </cell>
        </row>
        <row r="414">
          <cell r="C414" t="str">
            <v/>
          </cell>
        </row>
        <row r="415">
          <cell r="C415" t="str">
            <v/>
          </cell>
        </row>
        <row r="416">
          <cell r="C416" t="str">
            <v/>
          </cell>
        </row>
        <row r="417">
          <cell r="C417" t="str">
            <v/>
          </cell>
        </row>
        <row r="418">
          <cell r="C418" t="str">
            <v/>
          </cell>
        </row>
        <row r="419">
          <cell r="C419" t="str">
            <v/>
          </cell>
        </row>
        <row r="420">
          <cell r="C420" t="str">
            <v/>
          </cell>
        </row>
        <row r="421">
          <cell r="C421" t="str">
            <v/>
          </cell>
        </row>
        <row r="422">
          <cell r="C422" t="str">
            <v/>
          </cell>
        </row>
        <row r="423">
          <cell r="C423" t="str">
            <v/>
          </cell>
        </row>
        <row r="424">
          <cell r="C424" t="str">
            <v/>
          </cell>
        </row>
        <row r="425">
          <cell r="C425" t="str">
            <v/>
          </cell>
        </row>
        <row r="426">
          <cell r="C426" t="str">
            <v/>
          </cell>
        </row>
        <row r="427">
          <cell r="C427" t="str">
            <v/>
          </cell>
        </row>
        <row r="428">
          <cell r="C428" t="str">
            <v/>
          </cell>
        </row>
        <row r="429">
          <cell r="C429" t="str">
            <v/>
          </cell>
        </row>
        <row r="430">
          <cell r="C430" t="str">
            <v/>
          </cell>
        </row>
        <row r="431">
          <cell r="C431" t="str">
            <v/>
          </cell>
        </row>
        <row r="432">
          <cell r="C432" t="str">
            <v/>
          </cell>
        </row>
        <row r="433">
          <cell r="C433" t="str">
            <v/>
          </cell>
        </row>
        <row r="434">
          <cell r="C434" t="str">
            <v/>
          </cell>
        </row>
        <row r="435">
          <cell r="C435" t="str">
            <v/>
          </cell>
        </row>
        <row r="436">
          <cell r="C436" t="str">
            <v/>
          </cell>
        </row>
        <row r="437">
          <cell r="C437" t="str">
            <v/>
          </cell>
        </row>
        <row r="438">
          <cell r="C438" t="str">
            <v/>
          </cell>
        </row>
        <row r="439">
          <cell r="C439" t="str">
            <v/>
          </cell>
        </row>
        <row r="440">
          <cell r="C440" t="str">
            <v/>
          </cell>
        </row>
        <row r="441">
          <cell r="C441" t="str">
            <v/>
          </cell>
        </row>
        <row r="442">
          <cell r="C442" t="str">
            <v/>
          </cell>
        </row>
        <row r="443">
          <cell r="C443" t="str">
            <v/>
          </cell>
        </row>
        <row r="444">
          <cell r="C444" t="str">
            <v/>
          </cell>
        </row>
        <row r="445">
          <cell r="C445" t="str">
            <v/>
          </cell>
        </row>
        <row r="446">
          <cell r="C446" t="str">
            <v/>
          </cell>
        </row>
        <row r="447">
          <cell r="C447" t="str">
            <v/>
          </cell>
        </row>
        <row r="448">
          <cell r="C448" t="str">
            <v/>
          </cell>
        </row>
        <row r="449">
          <cell r="C449" t="str">
            <v/>
          </cell>
        </row>
        <row r="450">
          <cell r="C450" t="str">
            <v/>
          </cell>
        </row>
        <row r="451">
          <cell r="C451" t="str">
            <v/>
          </cell>
        </row>
        <row r="452">
          <cell r="C452" t="str">
            <v/>
          </cell>
        </row>
        <row r="453">
          <cell r="C453" t="str">
            <v/>
          </cell>
        </row>
        <row r="454">
          <cell r="C454" t="str">
            <v/>
          </cell>
        </row>
        <row r="455">
          <cell r="C455" t="str">
            <v/>
          </cell>
        </row>
        <row r="456">
          <cell r="C456" t="str">
            <v/>
          </cell>
        </row>
        <row r="457">
          <cell r="C457" t="str">
            <v/>
          </cell>
        </row>
        <row r="458">
          <cell r="C458" t="str">
            <v/>
          </cell>
        </row>
        <row r="459">
          <cell r="C459" t="str">
            <v/>
          </cell>
        </row>
        <row r="460">
          <cell r="C460" t="str">
            <v/>
          </cell>
        </row>
        <row r="461">
          <cell r="C461" t="str">
            <v/>
          </cell>
        </row>
        <row r="462">
          <cell r="C462" t="str">
            <v/>
          </cell>
        </row>
        <row r="463">
          <cell r="C463" t="str">
            <v/>
          </cell>
        </row>
        <row r="464">
          <cell r="C464" t="str">
            <v/>
          </cell>
        </row>
        <row r="465">
          <cell r="C465" t="str">
            <v/>
          </cell>
        </row>
        <row r="466">
          <cell r="C466" t="str">
            <v/>
          </cell>
        </row>
        <row r="467">
          <cell r="C467" t="str">
            <v/>
          </cell>
        </row>
        <row r="468">
          <cell r="C468" t="str">
            <v/>
          </cell>
        </row>
        <row r="469">
          <cell r="C469" t="str">
            <v/>
          </cell>
        </row>
        <row r="470">
          <cell r="C470" t="str">
            <v/>
          </cell>
        </row>
        <row r="471">
          <cell r="C471" t="str">
            <v/>
          </cell>
        </row>
        <row r="472">
          <cell r="C472" t="str">
            <v/>
          </cell>
        </row>
        <row r="473">
          <cell r="C473" t="str">
            <v/>
          </cell>
        </row>
        <row r="474">
          <cell r="C474" t="str">
            <v/>
          </cell>
        </row>
        <row r="475">
          <cell r="C475" t="str">
            <v/>
          </cell>
        </row>
        <row r="476">
          <cell r="C476" t="str">
            <v/>
          </cell>
        </row>
        <row r="477">
          <cell r="C477" t="str">
            <v/>
          </cell>
        </row>
        <row r="478">
          <cell r="C478" t="str">
            <v/>
          </cell>
        </row>
        <row r="479">
          <cell r="C479" t="str">
            <v/>
          </cell>
        </row>
        <row r="480">
          <cell r="C480" t="str">
            <v/>
          </cell>
        </row>
        <row r="481">
          <cell r="C481" t="str">
            <v/>
          </cell>
        </row>
        <row r="482">
          <cell r="C482" t="str">
            <v/>
          </cell>
        </row>
        <row r="483">
          <cell r="C483" t="str">
            <v/>
          </cell>
        </row>
        <row r="484">
          <cell r="C484" t="str">
            <v/>
          </cell>
        </row>
        <row r="485">
          <cell r="C485" t="str">
            <v/>
          </cell>
        </row>
        <row r="486">
          <cell r="C486" t="str">
            <v/>
          </cell>
        </row>
        <row r="487">
          <cell r="C487" t="str">
            <v/>
          </cell>
        </row>
        <row r="488">
          <cell r="C488" t="str">
            <v/>
          </cell>
        </row>
        <row r="489">
          <cell r="C489" t="str">
            <v/>
          </cell>
        </row>
        <row r="490">
          <cell r="C490" t="str">
            <v/>
          </cell>
        </row>
        <row r="491">
          <cell r="C491" t="str">
            <v/>
          </cell>
        </row>
        <row r="492">
          <cell r="C492" t="str">
            <v/>
          </cell>
        </row>
        <row r="493">
          <cell r="C493" t="str">
            <v/>
          </cell>
        </row>
        <row r="494">
          <cell r="C494" t="str">
            <v/>
          </cell>
        </row>
        <row r="495">
          <cell r="C495" t="str">
            <v/>
          </cell>
        </row>
        <row r="496">
          <cell r="C496" t="str">
            <v/>
          </cell>
        </row>
        <row r="497">
          <cell r="C497" t="str">
            <v/>
          </cell>
        </row>
        <row r="498">
          <cell r="C498" t="str">
            <v/>
          </cell>
        </row>
        <row r="499">
          <cell r="C499" t="str">
            <v/>
          </cell>
        </row>
        <row r="500">
          <cell r="C500" t="str">
            <v/>
          </cell>
        </row>
        <row r="501">
          <cell r="C501" t="str">
            <v/>
          </cell>
        </row>
        <row r="502">
          <cell r="C502" t="str">
            <v/>
          </cell>
        </row>
        <row r="503">
          <cell r="C503" t="str">
            <v/>
          </cell>
        </row>
        <row r="504">
          <cell r="C504" t="str">
            <v/>
          </cell>
        </row>
        <row r="505">
          <cell r="C505" t="str">
            <v/>
          </cell>
        </row>
        <row r="506">
          <cell r="C506" t="str">
            <v/>
          </cell>
        </row>
        <row r="507">
          <cell r="C507" t="str">
            <v/>
          </cell>
        </row>
        <row r="508">
          <cell r="C508" t="str">
            <v/>
          </cell>
        </row>
        <row r="509">
          <cell r="C509" t="str">
            <v/>
          </cell>
        </row>
        <row r="510">
          <cell r="C510" t="str">
            <v/>
          </cell>
        </row>
        <row r="511">
          <cell r="C511" t="str">
            <v/>
          </cell>
        </row>
        <row r="512">
          <cell r="C512" t="str">
            <v/>
          </cell>
        </row>
        <row r="513">
          <cell r="C513" t="str">
            <v/>
          </cell>
        </row>
        <row r="514">
          <cell r="C514" t="str">
            <v/>
          </cell>
        </row>
        <row r="515">
          <cell r="C515" t="str">
            <v/>
          </cell>
        </row>
        <row r="516">
          <cell r="C516" t="str">
            <v/>
          </cell>
        </row>
        <row r="517">
          <cell r="C517" t="str">
            <v/>
          </cell>
        </row>
        <row r="518">
          <cell r="C518" t="str">
            <v/>
          </cell>
        </row>
        <row r="519">
          <cell r="C519" t="str">
            <v/>
          </cell>
        </row>
        <row r="520">
          <cell r="C520" t="str">
            <v/>
          </cell>
        </row>
        <row r="521">
          <cell r="C521" t="str">
            <v/>
          </cell>
        </row>
        <row r="522">
          <cell r="C522" t="str">
            <v/>
          </cell>
        </row>
        <row r="523">
          <cell r="C523" t="str">
            <v/>
          </cell>
        </row>
        <row r="524">
          <cell r="C524" t="str">
            <v/>
          </cell>
        </row>
        <row r="525">
          <cell r="C525" t="str">
            <v/>
          </cell>
        </row>
        <row r="526">
          <cell r="C526" t="str">
            <v/>
          </cell>
        </row>
        <row r="527">
          <cell r="C527" t="str">
            <v/>
          </cell>
        </row>
        <row r="528">
          <cell r="C528" t="str">
            <v/>
          </cell>
        </row>
        <row r="529">
          <cell r="C529" t="str">
            <v/>
          </cell>
        </row>
        <row r="530">
          <cell r="C530" t="str">
            <v/>
          </cell>
        </row>
        <row r="531">
          <cell r="C531" t="str">
            <v/>
          </cell>
        </row>
        <row r="532">
          <cell r="C532" t="str">
            <v/>
          </cell>
        </row>
        <row r="533">
          <cell r="C533" t="str">
            <v/>
          </cell>
        </row>
        <row r="534">
          <cell r="C534" t="str">
            <v/>
          </cell>
        </row>
        <row r="535">
          <cell r="C535" t="str">
            <v/>
          </cell>
        </row>
        <row r="536">
          <cell r="C536" t="str">
            <v/>
          </cell>
        </row>
        <row r="537">
          <cell r="C537" t="str">
            <v/>
          </cell>
        </row>
        <row r="538">
          <cell r="C538" t="str">
            <v/>
          </cell>
        </row>
        <row r="539">
          <cell r="C539" t="str">
            <v/>
          </cell>
        </row>
        <row r="540">
          <cell r="C540" t="str">
            <v/>
          </cell>
        </row>
        <row r="541">
          <cell r="C541" t="str">
            <v/>
          </cell>
        </row>
        <row r="542">
          <cell r="C542" t="str">
            <v/>
          </cell>
        </row>
        <row r="543">
          <cell r="C543" t="str">
            <v/>
          </cell>
        </row>
        <row r="544">
          <cell r="C544" t="str">
            <v/>
          </cell>
        </row>
        <row r="545">
          <cell r="C545" t="str">
            <v/>
          </cell>
        </row>
        <row r="546">
          <cell r="C546" t="str">
            <v/>
          </cell>
        </row>
        <row r="547">
          <cell r="C547" t="str">
            <v/>
          </cell>
        </row>
        <row r="548">
          <cell r="C548" t="str">
            <v/>
          </cell>
        </row>
        <row r="549">
          <cell r="C549" t="str">
            <v/>
          </cell>
        </row>
        <row r="550">
          <cell r="C550" t="str">
            <v/>
          </cell>
        </row>
        <row r="551">
          <cell r="C551" t="str">
            <v/>
          </cell>
        </row>
        <row r="552">
          <cell r="C552" t="str">
            <v/>
          </cell>
        </row>
        <row r="553">
          <cell r="C553" t="str">
            <v/>
          </cell>
        </row>
        <row r="554">
          <cell r="C554" t="str">
            <v/>
          </cell>
        </row>
        <row r="555">
          <cell r="C555" t="str">
            <v/>
          </cell>
        </row>
        <row r="556">
          <cell r="C556" t="str">
            <v/>
          </cell>
        </row>
        <row r="557">
          <cell r="C557" t="str">
            <v/>
          </cell>
        </row>
        <row r="558">
          <cell r="C558" t="str">
            <v/>
          </cell>
        </row>
        <row r="559">
          <cell r="C559" t="str">
            <v/>
          </cell>
        </row>
        <row r="560">
          <cell r="C560" t="str">
            <v/>
          </cell>
        </row>
        <row r="561">
          <cell r="C561" t="str">
            <v/>
          </cell>
        </row>
        <row r="562">
          <cell r="C562" t="str">
            <v/>
          </cell>
        </row>
        <row r="563">
          <cell r="C563" t="str">
            <v/>
          </cell>
        </row>
        <row r="564">
          <cell r="C564" t="str">
            <v/>
          </cell>
        </row>
        <row r="565">
          <cell r="C565" t="str">
            <v/>
          </cell>
        </row>
        <row r="566">
          <cell r="C566" t="str">
            <v/>
          </cell>
        </row>
        <row r="567">
          <cell r="C567" t="str">
            <v/>
          </cell>
        </row>
        <row r="568">
          <cell r="C568" t="str">
            <v/>
          </cell>
        </row>
        <row r="569">
          <cell r="C569" t="str">
            <v/>
          </cell>
        </row>
        <row r="570">
          <cell r="C570" t="str">
            <v/>
          </cell>
        </row>
        <row r="571">
          <cell r="C571" t="str">
            <v/>
          </cell>
        </row>
        <row r="572">
          <cell r="C572" t="str">
            <v/>
          </cell>
        </row>
        <row r="573">
          <cell r="C573" t="str">
            <v/>
          </cell>
        </row>
        <row r="574">
          <cell r="C574" t="str">
            <v/>
          </cell>
        </row>
        <row r="575">
          <cell r="C575" t="str">
            <v/>
          </cell>
        </row>
        <row r="576">
          <cell r="C576" t="str">
            <v/>
          </cell>
        </row>
        <row r="577">
          <cell r="C577" t="str">
            <v/>
          </cell>
        </row>
        <row r="578">
          <cell r="C578" t="str">
            <v/>
          </cell>
        </row>
        <row r="579">
          <cell r="C579" t="str">
            <v/>
          </cell>
        </row>
        <row r="580">
          <cell r="C580" t="str">
            <v/>
          </cell>
        </row>
        <row r="581">
          <cell r="C581" t="str">
            <v/>
          </cell>
        </row>
        <row r="582">
          <cell r="C582" t="str">
            <v/>
          </cell>
        </row>
        <row r="583">
          <cell r="C583" t="str">
            <v/>
          </cell>
        </row>
        <row r="584">
          <cell r="C584" t="str">
            <v/>
          </cell>
        </row>
        <row r="585">
          <cell r="C585" t="str">
            <v/>
          </cell>
        </row>
        <row r="586">
          <cell r="C586" t="str">
            <v/>
          </cell>
        </row>
        <row r="587">
          <cell r="C587" t="str">
            <v/>
          </cell>
        </row>
        <row r="588">
          <cell r="C588" t="str">
            <v/>
          </cell>
        </row>
        <row r="589">
          <cell r="C589" t="str">
            <v/>
          </cell>
        </row>
        <row r="590">
          <cell r="C590" t="str">
            <v/>
          </cell>
        </row>
        <row r="591">
          <cell r="C591" t="str">
            <v/>
          </cell>
        </row>
        <row r="592">
          <cell r="C592" t="str">
            <v/>
          </cell>
        </row>
        <row r="593">
          <cell r="C593" t="str">
            <v/>
          </cell>
        </row>
        <row r="594">
          <cell r="C594" t="str">
            <v/>
          </cell>
        </row>
        <row r="595">
          <cell r="C595" t="str">
            <v/>
          </cell>
        </row>
        <row r="596">
          <cell r="C596" t="str">
            <v/>
          </cell>
        </row>
        <row r="597">
          <cell r="C597" t="str">
            <v/>
          </cell>
        </row>
        <row r="598">
          <cell r="C598" t="str">
            <v/>
          </cell>
        </row>
        <row r="599">
          <cell r="C599" t="str">
            <v/>
          </cell>
        </row>
        <row r="600">
          <cell r="C600" t="str">
            <v/>
          </cell>
        </row>
        <row r="601">
          <cell r="C601" t="str">
            <v/>
          </cell>
        </row>
        <row r="602">
          <cell r="C602" t="str">
            <v/>
          </cell>
        </row>
        <row r="603">
          <cell r="C603" t="str">
            <v/>
          </cell>
        </row>
        <row r="604">
          <cell r="C604" t="str">
            <v/>
          </cell>
        </row>
        <row r="605">
          <cell r="C605" t="str">
            <v/>
          </cell>
        </row>
        <row r="606">
          <cell r="C606" t="str">
            <v/>
          </cell>
        </row>
        <row r="607">
          <cell r="C607" t="str">
            <v/>
          </cell>
        </row>
        <row r="608">
          <cell r="C608" t="str">
            <v/>
          </cell>
        </row>
        <row r="609">
          <cell r="C609" t="str">
            <v/>
          </cell>
        </row>
        <row r="610">
          <cell r="C610" t="str">
            <v/>
          </cell>
        </row>
        <row r="611">
          <cell r="C611" t="str">
            <v/>
          </cell>
        </row>
        <row r="612">
          <cell r="C612" t="str">
            <v/>
          </cell>
        </row>
        <row r="613">
          <cell r="C613" t="str">
            <v/>
          </cell>
        </row>
        <row r="614">
          <cell r="C614" t="str">
            <v/>
          </cell>
        </row>
        <row r="615">
          <cell r="C615" t="str">
            <v/>
          </cell>
        </row>
        <row r="616">
          <cell r="C616" t="str">
            <v/>
          </cell>
        </row>
        <row r="617">
          <cell r="C617" t="str">
            <v/>
          </cell>
        </row>
        <row r="618">
          <cell r="C618" t="str">
            <v/>
          </cell>
        </row>
        <row r="619">
          <cell r="C619" t="str">
            <v/>
          </cell>
        </row>
        <row r="620">
          <cell r="C620" t="str">
            <v/>
          </cell>
        </row>
        <row r="621">
          <cell r="C621" t="str">
            <v/>
          </cell>
        </row>
        <row r="622">
          <cell r="C622" t="str">
            <v/>
          </cell>
        </row>
        <row r="623">
          <cell r="C623" t="str">
            <v/>
          </cell>
        </row>
        <row r="624">
          <cell r="C624" t="str">
            <v/>
          </cell>
        </row>
        <row r="625">
          <cell r="C625" t="str">
            <v/>
          </cell>
        </row>
        <row r="626">
          <cell r="C626" t="str">
            <v/>
          </cell>
        </row>
        <row r="627">
          <cell r="C627" t="str">
            <v/>
          </cell>
        </row>
        <row r="628">
          <cell r="C628" t="str">
            <v/>
          </cell>
        </row>
        <row r="629">
          <cell r="C629" t="str">
            <v/>
          </cell>
        </row>
        <row r="630">
          <cell r="C630" t="str">
            <v/>
          </cell>
        </row>
        <row r="631">
          <cell r="C631" t="str">
            <v/>
          </cell>
        </row>
        <row r="632">
          <cell r="C632" t="str">
            <v/>
          </cell>
        </row>
        <row r="633">
          <cell r="C633" t="str">
            <v/>
          </cell>
        </row>
        <row r="634">
          <cell r="C634" t="str">
            <v/>
          </cell>
        </row>
        <row r="635">
          <cell r="C635" t="str">
            <v/>
          </cell>
        </row>
        <row r="636">
          <cell r="C636" t="str">
            <v/>
          </cell>
        </row>
        <row r="637">
          <cell r="C637" t="str">
            <v/>
          </cell>
        </row>
        <row r="638">
          <cell r="C638" t="str">
            <v/>
          </cell>
        </row>
        <row r="639">
          <cell r="C639" t="str">
            <v/>
          </cell>
        </row>
        <row r="640">
          <cell r="C640" t="str">
            <v/>
          </cell>
        </row>
        <row r="641">
          <cell r="C641" t="str">
            <v/>
          </cell>
        </row>
        <row r="642">
          <cell r="C642" t="str">
            <v/>
          </cell>
        </row>
        <row r="643">
          <cell r="C643" t="str">
            <v/>
          </cell>
        </row>
        <row r="644">
          <cell r="C644" t="str">
            <v/>
          </cell>
        </row>
        <row r="645">
          <cell r="C645" t="str">
            <v/>
          </cell>
        </row>
        <row r="646">
          <cell r="C646" t="str">
            <v/>
          </cell>
        </row>
        <row r="647">
          <cell r="C647" t="str">
            <v/>
          </cell>
        </row>
        <row r="648">
          <cell r="C648" t="str">
            <v/>
          </cell>
        </row>
        <row r="649">
          <cell r="C649" t="str">
            <v/>
          </cell>
        </row>
        <row r="650">
          <cell r="C650" t="str">
            <v/>
          </cell>
        </row>
        <row r="651">
          <cell r="C651" t="str">
            <v/>
          </cell>
        </row>
        <row r="652">
          <cell r="C652" t="str">
            <v/>
          </cell>
        </row>
        <row r="653">
          <cell r="C653" t="str">
            <v/>
          </cell>
        </row>
        <row r="654">
          <cell r="C654" t="str">
            <v/>
          </cell>
        </row>
        <row r="655">
          <cell r="C655" t="str">
            <v/>
          </cell>
        </row>
        <row r="656">
          <cell r="C656" t="str">
            <v/>
          </cell>
        </row>
        <row r="657">
          <cell r="C657" t="str">
            <v/>
          </cell>
        </row>
        <row r="658">
          <cell r="C658" t="str">
            <v/>
          </cell>
        </row>
        <row r="659">
          <cell r="C659" t="str">
            <v/>
          </cell>
        </row>
        <row r="660">
          <cell r="C660" t="str">
            <v/>
          </cell>
        </row>
        <row r="661">
          <cell r="C661" t="str">
            <v/>
          </cell>
        </row>
        <row r="662">
          <cell r="C662" t="str">
            <v/>
          </cell>
        </row>
        <row r="663">
          <cell r="C663" t="str">
            <v/>
          </cell>
        </row>
        <row r="664">
          <cell r="C664" t="str">
            <v/>
          </cell>
        </row>
        <row r="665">
          <cell r="C665" t="str">
            <v/>
          </cell>
        </row>
        <row r="666">
          <cell r="C666" t="str">
            <v/>
          </cell>
        </row>
        <row r="667">
          <cell r="C667" t="str">
            <v/>
          </cell>
        </row>
        <row r="668">
          <cell r="C668" t="str">
            <v/>
          </cell>
        </row>
        <row r="669">
          <cell r="C669" t="str">
            <v/>
          </cell>
        </row>
        <row r="670">
          <cell r="C670" t="str">
            <v/>
          </cell>
        </row>
        <row r="671">
          <cell r="C671" t="str">
            <v/>
          </cell>
        </row>
        <row r="672">
          <cell r="C672" t="str">
            <v/>
          </cell>
        </row>
        <row r="673">
          <cell r="C673" t="str">
            <v/>
          </cell>
        </row>
        <row r="674">
          <cell r="C674" t="str">
            <v/>
          </cell>
        </row>
        <row r="675">
          <cell r="C675" t="str">
            <v/>
          </cell>
        </row>
        <row r="676">
          <cell r="C676" t="str">
            <v/>
          </cell>
        </row>
        <row r="677">
          <cell r="C677" t="str">
            <v/>
          </cell>
        </row>
        <row r="678">
          <cell r="C678" t="str">
            <v/>
          </cell>
        </row>
        <row r="679">
          <cell r="C679" t="str">
            <v/>
          </cell>
        </row>
        <row r="680">
          <cell r="C680" t="str">
            <v/>
          </cell>
        </row>
        <row r="681">
          <cell r="C681" t="str">
            <v/>
          </cell>
        </row>
        <row r="682">
          <cell r="C682" t="str">
            <v/>
          </cell>
        </row>
        <row r="683">
          <cell r="C683" t="str">
            <v/>
          </cell>
        </row>
        <row r="684">
          <cell r="C684" t="str">
            <v/>
          </cell>
        </row>
        <row r="685">
          <cell r="C685" t="str">
            <v/>
          </cell>
        </row>
        <row r="686">
          <cell r="C686" t="str">
            <v/>
          </cell>
        </row>
        <row r="687">
          <cell r="C687" t="str">
            <v/>
          </cell>
        </row>
        <row r="688">
          <cell r="C688" t="str">
            <v/>
          </cell>
        </row>
        <row r="689">
          <cell r="C689" t="str">
            <v/>
          </cell>
        </row>
        <row r="690">
          <cell r="C690" t="str">
            <v/>
          </cell>
        </row>
        <row r="691">
          <cell r="C691" t="str">
            <v/>
          </cell>
        </row>
        <row r="692">
          <cell r="C692" t="str">
            <v/>
          </cell>
        </row>
        <row r="693">
          <cell r="C693" t="str">
            <v/>
          </cell>
        </row>
        <row r="694">
          <cell r="C694" t="str">
            <v/>
          </cell>
        </row>
        <row r="695">
          <cell r="C695" t="str">
            <v/>
          </cell>
        </row>
        <row r="696">
          <cell r="C696" t="str">
            <v/>
          </cell>
        </row>
        <row r="697">
          <cell r="C697" t="str">
            <v/>
          </cell>
        </row>
        <row r="698">
          <cell r="C698" t="str">
            <v/>
          </cell>
        </row>
        <row r="699">
          <cell r="C699" t="str">
            <v/>
          </cell>
        </row>
        <row r="700">
          <cell r="C700" t="str">
            <v/>
          </cell>
        </row>
        <row r="701">
          <cell r="C701" t="str">
            <v/>
          </cell>
        </row>
        <row r="702">
          <cell r="C702" t="str">
            <v/>
          </cell>
        </row>
        <row r="703">
          <cell r="C703" t="str">
            <v/>
          </cell>
        </row>
        <row r="704">
          <cell r="C704" t="str">
            <v/>
          </cell>
        </row>
        <row r="705">
          <cell r="C705" t="str">
            <v/>
          </cell>
        </row>
        <row r="706">
          <cell r="C706" t="str">
            <v/>
          </cell>
        </row>
        <row r="707">
          <cell r="C707" t="str">
            <v/>
          </cell>
        </row>
        <row r="708">
          <cell r="C708" t="str">
            <v/>
          </cell>
        </row>
        <row r="709">
          <cell r="C709" t="str">
            <v/>
          </cell>
        </row>
        <row r="710">
          <cell r="C710" t="str">
            <v/>
          </cell>
        </row>
        <row r="711">
          <cell r="C711" t="str">
            <v/>
          </cell>
        </row>
        <row r="712">
          <cell r="C712" t="str">
            <v/>
          </cell>
        </row>
        <row r="713">
          <cell r="C713" t="str">
            <v/>
          </cell>
        </row>
        <row r="714">
          <cell r="C714" t="str">
            <v/>
          </cell>
        </row>
        <row r="715">
          <cell r="C715" t="str">
            <v/>
          </cell>
        </row>
        <row r="716">
          <cell r="C716" t="str">
            <v/>
          </cell>
        </row>
        <row r="717">
          <cell r="C717" t="str">
            <v/>
          </cell>
        </row>
        <row r="718">
          <cell r="C718" t="str">
            <v/>
          </cell>
        </row>
        <row r="719">
          <cell r="C719" t="str">
            <v/>
          </cell>
        </row>
        <row r="720">
          <cell r="C720" t="str">
            <v/>
          </cell>
        </row>
        <row r="721">
          <cell r="C721" t="str">
            <v/>
          </cell>
        </row>
        <row r="722">
          <cell r="C722" t="str">
            <v/>
          </cell>
        </row>
        <row r="723">
          <cell r="C723" t="str">
            <v/>
          </cell>
        </row>
        <row r="724">
          <cell r="C724" t="str">
            <v/>
          </cell>
        </row>
        <row r="725">
          <cell r="C725" t="str">
            <v/>
          </cell>
        </row>
        <row r="726">
          <cell r="C726" t="str">
            <v/>
          </cell>
        </row>
        <row r="727">
          <cell r="C727" t="str">
            <v/>
          </cell>
        </row>
        <row r="728">
          <cell r="C728" t="str">
            <v/>
          </cell>
        </row>
        <row r="729">
          <cell r="C729" t="str">
            <v/>
          </cell>
        </row>
        <row r="730">
          <cell r="C730" t="str">
            <v/>
          </cell>
        </row>
        <row r="731">
          <cell r="C731" t="str">
            <v/>
          </cell>
        </row>
        <row r="732">
          <cell r="C732" t="str">
            <v/>
          </cell>
        </row>
        <row r="733">
          <cell r="C733" t="str">
            <v/>
          </cell>
        </row>
        <row r="734">
          <cell r="C734" t="str">
            <v/>
          </cell>
        </row>
        <row r="735">
          <cell r="C735" t="str">
            <v/>
          </cell>
        </row>
        <row r="736">
          <cell r="C736" t="str">
            <v/>
          </cell>
        </row>
        <row r="737">
          <cell r="C737" t="str">
            <v/>
          </cell>
        </row>
        <row r="738">
          <cell r="C738" t="str">
            <v/>
          </cell>
        </row>
        <row r="739">
          <cell r="C739" t="str">
            <v/>
          </cell>
        </row>
        <row r="740">
          <cell r="C740" t="str">
            <v/>
          </cell>
        </row>
        <row r="741">
          <cell r="C741" t="str">
            <v/>
          </cell>
        </row>
        <row r="742">
          <cell r="C742" t="str">
            <v/>
          </cell>
        </row>
        <row r="743">
          <cell r="C743" t="str">
            <v/>
          </cell>
        </row>
        <row r="744">
          <cell r="C744" t="str">
            <v/>
          </cell>
        </row>
        <row r="745">
          <cell r="C745" t="str">
            <v/>
          </cell>
        </row>
        <row r="746">
          <cell r="C746" t="str">
            <v/>
          </cell>
        </row>
        <row r="747">
          <cell r="C747" t="str">
            <v/>
          </cell>
        </row>
        <row r="748">
          <cell r="C748" t="str">
            <v/>
          </cell>
        </row>
        <row r="749">
          <cell r="C749" t="str">
            <v/>
          </cell>
        </row>
        <row r="750">
          <cell r="C750" t="str">
            <v/>
          </cell>
        </row>
        <row r="751">
          <cell r="C751" t="str">
            <v/>
          </cell>
        </row>
        <row r="752">
          <cell r="C752" t="str">
            <v/>
          </cell>
        </row>
        <row r="753">
          <cell r="C753" t="str">
            <v/>
          </cell>
        </row>
        <row r="754">
          <cell r="C754" t="str">
            <v/>
          </cell>
        </row>
        <row r="755">
          <cell r="C755" t="str">
            <v/>
          </cell>
        </row>
        <row r="756">
          <cell r="C756" t="str">
            <v/>
          </cell>
        </row>
        <row r="757">
          <cell r="C757" t="str">
            <v/>
          </cell>
        </row>
        <row r="758">
          <cell r="C758" t="str">
            <v/>
          </cell>
        </row>
        <row r="759">
          <cell r="C759" t="str">
            <v/>
          </cell>
        </row>
        <row r="760">
          <cell r="C760" t="str">
            <v/>
          </cell>
        </row>
        <row r="761">
          <cell r="C761" t="str">
            <v/>
          </cell>
        </row>
        <row r="762">
          <cell r="C762" t="str">
            <v/>
          </cell>
        </row>
        <row r="763">
          <cell r="C763" t="str">
            <v/>
          </cell>
        </row>
        <row r="764">
          <cell r="C764" t="str">
            <v/>
          </cell>
        </row>
        <row r="765">
          <cell r="C765" t="str">
            <v/>
          </cell>
        </row>
        <row r="766">
          <cell r="C766" t="str">
            <v/>
          </cell>
        </row>
        <row r="767">
          <cell r="C767" t="str">
            <v/>
          </cell>
        </row>
        <row r="768">
          <cell r="C768" t="str">
            <v/>
          </cell>
        </row>
        <row r="769">
          <cell r="C769" t="str">
            <v/>
          </cell>
        </row>
        <row r="770">
          <cell r="C770" t="str">
            <v/>
          </cell>
        </row>
        <row r="771">
          <cell r="C771" t="str">
            <v/>
          </cell>
        </row>
        <row r="772">
          <cell r="C772" t="str">
            <v/>
          </cell>
        </row>
        <row r="773">
          <cell r="C773" t="str">
            <v/>
          </cell>
        </row>
        <row r="774">
          <cell r="C774" t="str">
            <v/>
          </cell>
        </row>
        <row r="775">
          <cell r="C775" t="str">
            <v/>
          </cell>
        </row>
        <row r="776">
          <cell r="C776" t="str">
            <v/>
          </cell>
        </row>
        <row r="777">
          <cell r="C777" t="str">
            <v/>
          </cell>
        </row>
        <row r="778">
          <cell r="C778" t="str">
            <v/>
          </cell>
        </row>
        <row r="779">
          <cell r="C779" t="str">
            <v/>
          </cell>
        </row>
        <row r="780">
          <cell r="C780" t="str">
            <v/>
          </cell>
        </row>
        <row r="781">
          <cell r="C781" t="str">
            <v/>
          </cell>
        </row>
        <row r="782">
          <cell r="C782" t="str">
            <v/>
          </cell>
        </row>
        <row r="783">
          <cell r="C783" t="str">
            <v/>
          </cell>
        </row>
        <row r="784">
          <cell r="C784" t="str">
            <v/>
          </cell>
        </row>
        <row r="785">
          <cell r="C785" t="str">
            <v/>
          </cell>
        </row>
        <row r="786">
          <cell r="C786" t="str">
            <v/>
          </cell>
        </row>
        <row r="787">
          <cell r="C787" t="str">
            <v/>
          </cell>
        </row>
        <row r="788">
          <cell r="C788" t="str">
            <v/>
          </cell>
        </row>
        <row r="789">
          <cell r="C789" t="str">
            <v/>
          </cell>
        </row>
        <row r="790">
          <cell r="C790" t="str">
            <v/>
          </cell>
        </row>
        <row r="791">
          <cell r="C791" t="str">
            <v/>
          </cell>
        </row>
        <row r="792">
          <cell r="C792" t="str">
            <v/>
          </cell>
        </row>
        <row r="793">
          <cell r="C793" t="str">
            <v/>
          </cell>
        </row>
        <row r="794">
          <cell r="C794" t="str">
            <v/>
          </cell>
        </row>
        <row r="795">
          <cell r="C795" t="str">
            <v/>
          </cell>
        </row>
        <row r="796">
          <cell r="C796" t="str">
            <v/>
          </cell>
        </row>
        <row r="797">
          <cell r="C797" t="str">
            <v/>
          </cell>
        </row>
        <row r="798">
          <cell r="C798" t="str">
            <v/>
          </cell>
        </row>
        <row r="799">
          <cell r="C799" t="str">
            <v/>
          </cell>
        </row>
        <row r="800">
          <cell r="C800" t="str">
            <v/>
          </cell>
        </row>
        <row r="801">
          <cell r="C801" t="str">
            <v/>
          </cell>
        </row>
        <row r="802">
          <cell r="C802" t="str">
            <v/>
          </cell>
        </row>
        <row r="803">
          <cell r="C803" t="str">
            <v/>
          </cell>
        </row>
        <row r="804">
          <cell r="C804" t="str">
            <v/>
          </cell>
        </row>
        <row r="805">
          <cell r="C805" t="str">
            <v/>
          </cell>
        </row>
        <row r="806">
          <cell r="C806" t="str">
            <v/>
          </cell>
        </row>
        <row r="807">
          <cell r="C807" t="str">
            <v/>
          </cell>
        </row>
        <row r="808">
          <cell r="C808" t="str">
            <v/>
          </cell>
        </row>
        <row r="809">
          <cell r="C809" t="str">
            <v/>
          </cell>
        </row>
        <row r="810">
          <cell r="C810" t="str">
            <v/>
          </cell>
        </row>
        <row r="811">
          <cell r="C811" t="str">
            <v/>
          </cell>
        </row>
        <row r="812">
          <cell r="C812" t="str">
            <v/>
          </cell>
        </row>
        <row r="813">
          <cell r="C813" t="str">
            <v/>
          </cell>
        </row>
        <row r="814">
          <cell r="C814" t="str">
            <v/>
          </cell>
        </row>
        <row r="815">
          <cell r="C815" t="str">
            <v/>
          </cell>
        </row>
        <row r="816">
          <cell r="C816" t="str">
            <v/>
          </cell>
        </row>
        <row r="817">
          <cell r="C817" t="str">
            <v/>
          </cell>
        </row>
        <row r="818">
          <cell r="C818" t="str">
            <v/>
          </cell>
        </row>
        <row r="819">
          <cell r="C819" t="str">
            <v/>
          </cell>
        </row>
        <row r="820">
          <cell r="C820" t="str">
            <v/>
          </cell>
        </row>
        <row r="821">
          <cell r="C821" t="str">
            <v/>
          </cell>
        </row>
        <row r="822">
          <cell r="C822" t="str">
            <v/>
          </cell>
        </row>
        <row r="823">
          <cell r="C823" t="str">
            <v/>
          </cell>
        </row>
        <row r="824">
          <cell r="C824" t="str">
            <v/>
          </cell>
        </row>
        <row r="825">
          <cell r="C825" t="str">
            <v/>
          </cell>
        </row>
        <row r="826">
          <cell r="C826" t="str">
            <v/>
          </cell>
        </row>
        <row r="827">
          <cell r="C827" t="str">
            <v/>
          </cell>
        </row>
        <row r="828">
          <cell r="C828" t="str">
            <v/>
          </cell>
        </row>
        <row r="829">
          <cell r="C829" t="str">
            <v/>
          </cell>
        </row>
        <row r="830">
          <cell r="C830" t="str">
            <v/>
          </cell>
        </row>
        <row r="831">
          <cell r="C831" t="str">
            <v/>
          </cell>
        </row>
        <row r="832">
          <cell r="C832" t="str">
            <v/>
          </cell>
        </row>
        <row r="833">
          <cell r="C833" t="str">
            <v/>
          </cell>
        </row>
        <row r="834">
          <cell r="C834" t="str">
            <v/>
          </cell>
        </row>
        <row r="835">
          <cell r="C835" t="str">
            <v/>
          </cell>
        </row>
        <row r="836">
          <cell r="C836" t="str">
            <v/>
          </cell>
        </row>
        <row r="837">
          <cell r="C837" t="str">
            <v/>
          </cell>
        </row>
        <row r="838">
          <cell r="C838" t="str">
            <v/>
          </cell>
        </row>
        <row r="839">
          <cell r="C839" t="str">
            <v/>
          </cell>
        </row>
        <row r="840">
          <cell r="C840" t="str">
            <v/>
          </cell>
        </row>
        <row r="841">
          <cell r="C841" t="str">
            <v/>
          </cell>
        </row>
        <row r="842">
          <cell r="C842" t="str">
            <v/>
          </cell>
        </row>
        <row r="843">
          <cell r="C843" t="str">
            <v/>
          </cell>
        </row>
        <row r="844">
          <cell r="C844" t="str">
            <v/>
          </cell>
        </row>
        <row r="845">
          <cell r="C845" t="str">
            <v/>
          </cell>
        </row>
        <row r="846">
          <cell r="C846" t="str">
            <v/>
          </cell>
        </row>
        <row r="847">
          <cell r="C847" t="str">
            <v/>
          </cell>
        </row>
        <row r="848">
          <cell r="C848" t="str">
            <v/>
          </cell>
        </row>
        <row r="849">
          <cell r="C849" t="str">
            <v/>
          </cell>
        </row>
        <row r="850">
          <cell r="C850" t="str">
            <v/>
          </cell>
        </row>
        <row r="851">
          <cell r="C851" t="str">
            <v/>
          </cell>
        </row>
        <row r="852">
          <cell r="C852" t="str">
            <v/>
          </cell>
        </row>
        <row r="853">
          <cell r="C853" t="str">
            <v/>
          </cell>
        </row>
        <row r="854">
          <cell r="C854" t="str">
            <v/>
          </cell>
        </row>
        <row r="855">
          <cell r="C855" t="str">
            <v/>
          </cell>
        </row>
        <row r="856">
          <cell r="C856" t="str">
            <v/>
          </cell>
        </row>
        <row r="857">
          <cell r="C857" t="str">
            <v/>
          </cell>
        </row>
        <row r="858">
          <cell r="C858" t="str">
            <v/>
          </cell>
        </row>
        <row r="859">
          <cell r="C859" t="str">
            <v/>
          </cell>
        </row>
        <row r="860">
          <cell r="C860" t="str">
            <v/>
          </cell>
        </row>
        <row r="861">
          <cell r="C861" t="str">
            <v/>
          </cell>
        </row>
        <row r="862">
          <cell r="C862" t="str">
            <v/>
          </cell>
        </row>
        <row r="863">
          <cell r="C863" t="str">
            <v/>
          </cell>
        </row>
        <row r="864">
          <cell r="C864" t="str">
            <v/>
          </cell>
        </row>
        <row r="865">
          <cell r="C865" t="str">
            <v/>
          </cell>
        </row>
        <row r="866">
          <cell r="C866" t="str">
            <v/>
          </cell>
        </row>
        <row r="867">
          <cell r="C867" t="str">
            <v/>
          </cell>
        </row>
        <row r="868">
          <cell r="C868" t="str">
            <v/>
          </cell>
        </row>
        <row r="869">
          <cell r="C869" t="str">
            <v/>
          </cell>
        </row>
        <row r="870">
          <cell r="C870" t="str">
            <v/>
          </cell>
        </row>
        <row r="871">
          <cell r="C871" t="str">
            <v/>
          </cell>
        </row>
        <row r="872">
          <cell r="C872" t="str">
            <v/>
          </cell>
        </row>
        <row r="873">
          <cell r="C873" t="str">
            <v/>
          </cell>
        </row>
        <row r="874">
          <cell r="C874" t="str">
            <v/>
          </cell>
        </row>
        <row r="875">
          <cell r="C875" t="str">
            <v/>
          </cell>
        </row>
        <row r="876">
          <cell r="C876" t="str">
            <v/>
          </cell>
        </row>
        <row r="877">
          <cell r="C877" t="str">
            <v/>
          </cell>
        </row>
        <row r="878">
          <cell r="C878" t="str">
            <v/>
          </cell>
        </row>
        <row r="879">
          <cell r="C879" t="str">
            <v/>
          </cell>
        </row>
        <row r="880">
          <cell r="C880" t="str">
            <v/>
          </cell>
        </row>
        <row r="881">
          <cell r="C881" t="str">
            <v/>
          </cell>
        </row>
        <row r="882">
          <cell r="C882" t="str">
            <v/>
          </cell>
        </row>
        <row r="883">
          <cell r="C883" t="str">
            <v/>
          </cell>
        </row>
        <row r="884">
          <cell r="C884" t="str">
            <v/>
          </cell>
        </row>
        <row r="885">
          <cell r="C885" t="str">
            <v/>
          </cell>
        </row>
        <row r="886">
          <cell r="C886" t="str">
            <v/>
          </cell>
        </row>
        <row r="887">
          <cell r="C887" t="str">
            <v/>
          </cell>
        </row>
        <row r="888">
          <cell r="C888" t="str">
            <v/>
          </cell>
        </row>
        <row r="889">
          <cell r="C889" t="str">
            <v/>
          </cell>
        </row>
        <row r="890">
          <cell r="C890" t="str">
            <v/>
          </cell>
        </row>
        <row r="891">
          <cell r="C891" t="str">
            <v/>
          </cell>
        </row>
        <row r="892">
          <cell r="C892" t="str">
            <v/>
          </cell>
        </row>
        <row r="893">
          <cell r="C893" t="str">
            <v/>
          </cell>
        </row>
        <row r="894">
          <cell r="C894" t="str">
            <v/>
          </cell>
        </row>
        <row r="895">
          <cell r="C895" t="str">
            <v/>
          </cell>
        </row>
        <row r="896">
          <cell r="C896" t="str">
            <v/>
          </cell>
        </row>
        <row r="897">
          <cell r="C897" t="str">
            <v/>
          </cell>
        </row>
        <row r="898">
          <cell r="C898" t="str">
            <v/>
          </cell>
        </row>
        <row r="899">
          <cell r="C899" t="str">
            <v/>
          </cell>
        </row>
        <row r="900">
          <cell r="C900" t="str">
            <v/>
          </cell>
        </row>
        <row r="901">
          <cell r="C901" t="str">
            <v/>
          </cell>
        </row>
        <row r="902">
          <cell r="C902" t="str">
            <v/>
          </cell>
        </row>
      </sheetData>
      <sheetData sheetId="17" refreshError="1"/>
      <sheetData sheetId="18">
        <row r="2">
          <cell r="D2" t="str">
            <v>Scheduling Coordinator</v>
          </cell>
        </row>
        <row r="3">
          <cell r="D3" t="str">
            <v>Party to a Power Contract</v>
          </cell>
        </row>
        <row r="4">
          <cell r="D4" t="str">
            <v>Retail Provider</v>
          </cell>
        </row>
        <row r="5">
          <cell r="D5" t="str">
            <v>Generation Providing Entity (GPE)</v>
          </cell>
        </row>
        <row r="6">
          <cell r="D6" t="str">
            <v>Transmission Provider</v>
          </cell>
        </row>
        <row r="7">
          <cell r="D7" t="str">
            <v>Other</v>
          </cell>
        </row>
        <row r="20">
          <cell r="F20" t="str">
            <v>Other</v>
          </cell>
        </row>
        <row r="21">
          <cell r="F21" t="str">
            <v>3 Phases Renewables - 3006</v>
          </cell>
        </row>
        <row r="22">
          <cell r="F22" t="str">
            <v>Alameda Municipal Power - 3022</v>
          </cell>
        </row>
        <row r="23">
          <cell r="F23" t="str">
            <v>Anza Electric Cooperative - 104578</v>
          </cell>
        </row>
        <row r="24">
          <cell r="F24" t="str">
            <v>Arizona Electric Power Cooperative - 2098</v>
          </cell>
        </row>
        <row r="25">
          <cell r="F25" t="str">
            <v>Arizona Public Service Company - 104131</v>
          </cell>
        </row>
        <row r="26">
          <cell r="F26" t="str">
            <v>Azusa Light and Water - 3024</v>
          </cell>
        </row>
        <row r="27">
          <cell r="F27" t="str">
            <v>Barclays Capital - 2425</v>
          </cell>
        </row>
        <row r="28">
          <cell r="F28" t="str">
            <v>Bear Valley Electric Service (BVES) - 3000</v>
          </cell>
        </row>
        <row r="29">
          <cell r="F29" t="str">
            <v>Biggs Municipal Utilities - 3026</v>
          </cell>
        </row>
        <row r="30">
          <cell r="F30" t="str">
            <v>BNP Paribas Energy Trading GP - 2017</v>
          </cell>
        </row>
        <row r="31">
          <cell r="F31" t="str">
            <v>Bonneville Power Administration - AO/CS - 4000</v>
          </cell>
        </row>
        <row r="32">
          <cell r="F32" t="str">
            <v>Bonneville Power Administration - Marketer - 2044</v>
          </cell>
        </row>
        <row r="33">
          <cell r="F33" t="str">
            <v>BP Energy Company - 2113</v>
          </cell>
        </row>
        <row r="34">
          <cell r="F34" t="str">
            <v>Brookfield Energy Marketing LP - 104120</v>
          </cell>
        </row>
        <row r="35">
          <cell r="F35" t="str">
            <v>Burbank Water and Power - 3027</v>
          </cell>
        </row>
        <row r="36">
          <cell r="F36" t="str">
            <v>California Department of Water Resources (DWR), State Water Project - 3072</v>
          </cell>
        </row>
        <row r="37">
          <cell r="B37" t="str">
            <v>Alberta</v>
          </cell>
          <cell r="F37" t="str">
            <v>Calpine Corporation - 3010</v>
          </cell>
        </row>
        <row r="38">
          <cell r="B38" t="str">
            <v>Arizona</v>
          </cell>
          <cell r="F38" t="str">
            <v>Cargill Power Markets, LLC - 2214</v>
          </cell>
        </row>
        <row r="39">
          <cell r="B39" t="str">
            <v>Baja</v>
          </cell>
          <cell r="F39" t="str">
            <v>Central Arizona Water Conservation District - CAWCD - 104577</v>
          </cell>
        </row>
        <row r="40">
          <cell r="B40" t="str">
            <v>British Columbia</v>
          </cell>
          <cell r="F40" t="str">
            <v>Citigroup Energy Inc. - 2428</v>
          </cell>
        </row>
        <row r="41">
          <cell r="B41" t="str">
            <v>California</v>
          </cell>
          <cell r="F41" t="str">
            <v>City of Anaheim, Public Utilities Department, Anaheim City Hall West - 3023</v>
          </cell>
        </row>
        <row r="42">
          <cell r="B42" t="str">
            <v>Colorado</v>
          </cell>
          <cell r="F42" t="str">
            <v>City of Banning Electric Department - 3025</v>
          </cell>
        </row>
        <row r="43">
          <cell r="B43" t="str">
            <v>Idaho</v>
          </cell>
          <cell r="F43" t="str">
            <v>City of Cerritos - 3029</v>
          </cell>
        </row>
        <row r="44">
          <cell r="B44" t="str">
            <v>Montana</v>
          </cell>
          <cell r="F44" t="str">
            <v>City of Colton - EPE - 3031</v>
          </cell>
        </row>
        <row r="45">
          <cell r="B45" t="str">
            <v>Nevada</v>
          </cell>
          <cell r="F45" t="str">
            <v>City of Corona Dept. of Water &amp; Power - EPE - 3032</v>
          </cell>
        </row>
        <row r="46">
          <cell r="B46" t="str">
            <v>New Mexico</v>
          </cell>
          <cell r="F46" t="str">
            <v>City of Industry - 3030</v>
          </cell>
        </row>
        <row r="47">
          <cell r="B47" t="str">
            <v>Oregon</v>
          </cell>
          <cell r="F47" t="str">
            <v>City of Lompoc - 3041</v>
          </cell>
        </row>
        <row r="48">
          <cell r="B48" t="str">
            <v>South Dakota</v>
          </cell>
          <cell r="F48" t="str">
            <v>City of Needles - 3047</v>
          </cell>
        </row>
        <row r="49">
          <cell r="B49" t="str">
            <v>Utah</v>
          </cell>
          <cell r="F49" t="str">
            <v>City of Palo Alto - Electric Power Entity - 3048</v>
          </cell>
        </row>
        <row r="50">
          <cell r="B50" t="str">
            <v>Washington</v>
          </cell>
          <cell r="F50" t="str">
            <v>City of Riverside Public Utilities - 3056</v>
          </cell>
        </row>
        <row r="51">
          <cell r="B51" t="str">
            <v>Wyoming</v>
          </cell>
          <cell r="F51" t="str">
            <v>City of Shasta Lake - Electric - 3059</v>
          </cell>
        </row>
        <row r="52">
          <cell r="B52" t="str">
            <v>Other</v>
          </cell>
          <cell r="F52" t="str">
            <v>City of Ukiah, Electric Utilities Division - 3065</v>
          </cell>
        </row>
        <row r="53">
          <cell r="F53" t="str">
            <v>City of Vernon, Vernon Gas &amp; Electric - 3066</v>
          </cell>
        </row>
        <row r="54">
          <cell r="F54" t="str">
            <v>Comision Federal de Electricidad (CFE) - 104570</v>
          </cell>
        </row>
        <row r="55">
          <cell r="F55" t="str">
            <v>Commerce Energy, Inc. - 3011</v>
          </cell>
        </row>
        <row r="56">
          <cell r="F56" t="str">
            <v>Constellation NewEnergy, Inc. - 3012</v>
          </cell>
        </row>
        <row r="57">
          <cell r="F57" t="str">
            <v>CP Energy Marketing (US) Inc. (Capital Power) - 3102</v>
          </cell>
        </row>
        <row r="58">
          <cell r="F58" t="str">
            <v>DB Energy Trading LLC - 2231</v>
          </cell>
        </row>
        <row r="59">
          <cell r="F59" t="str">
            <v>Direct Energy Business, LLC (fka Strategic Energy) - 2264</v>
          </cell>
        </row>
        <row r="60">
          <cell r="F60" t="str">
            <v>Eastside Power Authority - 3033</v>
          </cell>
        </row>
        <row r="61">
          <cell r="F61" t="str">
            <v>EDF Industrial Power Services (CA), LLC - 104452</v>
          </cell>
        </row>
        <row r="62">
          <cell r="F62" t="str">
            <v>EDF Trading North America, LLC - 104067</v>
          </cell>
        </row>
        <row r="63">
          <cell r="F63" t="str">
            <v>Exelon Generation Company, LLC - 2078</v>
          </cell>
        </row>
        <row r="64">
          <cell r="F64" t="str">
            <v>Gexa Energy California, LLC - 104507</v>
          </cell>
        </row>
        <row r="65">
          <cell r="F65" t="str">
            <v>Gila River - Entegra Power Group - 104119</v>
          </cell>
        </row>
        <row r="66">
          <cell r="F66" t="str">
            <v>Glendale Water &amp; Power - 3034</v>
          </cell>
        </row>
        <row r="67">
          <cell r="F67" t="str">
            <v>Gridley Electric Utility - 3035</v>
          </cell>
        </row>
        <row r="68">
          <cell r="F68" t="str">
            <v>Guzman Power Markets 2014+ - 104473</v>
          </cell>
        </row>
        <row r="69">
          <cell r="F69" t="str">
            <v>Healdsburg Electric Dept. - 3036</v>
          </cell>
        </row>
        <row r="70">
          <cell r="F70" t="str">
            <v>Iberdrola Renewables - 2292</v>
          </cell>
        </row>
        <row r="71">
          <cell r="F71" t="str">
            <v>Imperial Irrigation District (IID) - 3038</v>
          </cell>
        </row>
        <row r="72">
          <cell r="F72" t="str">
            <v>J. Aron &amp; Company - 104335</v>
          </cell>
        </row>
        <row r="73">
          <cell r="F73" t="str">
            <v>J.P. Morgan Ventures Energy Corporation - 3077</v>
          </cell>
        </row>
        <row r="74">
          <cell r="F74" t="str">
            <v>Kirkwood Meadows PUD Powerhouse - 3001</v>
          </cell>
        </row>
        <row r="75">
          <cell r="F75" t="str">
            <v>La Rosita Power - Marketing - 104211</v>
          </cell>
        </row>
        <row r="76">
          <cell r="F76" t="str">
            <v>Lassen Municipal Utility District - 3039</v>
          </cell>
        </row>
        <row r="77">
          <cell r="F77" t="str">
            <v>Liberty Power Corporation - 104451</v>
          </cell>
        </row>
        <row r="78">
          <cell r="F78" t="str">
            <v>Liberty Utilities (CalPeco Electric) LLC - 104099</v>
          </cell>
        </row>
        <row r="79">
          <cell r="F79" t="str">
            <v>Lodi Electric Utility - 3040</v>
          </cell>
        </row>
        <row r="80">
          <cell r="F80" t="str">
            <v>Los Angeles Department of Water &amp; Power (LADWP) - 3042</v>
          </cell>
        </row>
        <row r="81">
          <cell r="F81" t="str">
            <v>Macquarie Energy LLC - 2112</v>
          </cell>
        </row>
        <row r="82">
          <cell r="F82" t="str">
            <v>MAG Energy Solutions, Inc. - 104573</v>
          </cell>
        </row>
        <row r="83">
          <cell r="F83" t="str">
            <v>Marin Clean Energy - 104463</v>
          </cell>
        </row>
        <row r="84">
          <cell r="F84" t="str">
            <v>Merced Irrigation District (MeID) - 3044</v>
          </cell>
        </row>
        <row r="85">
          <cell r="F85" t="str">
            <v>Merrill Lynch Commodities, Inc. - 2027</v>
          </cell>
        </row>
        <row r="86">
          <cell r="F86" t="str">
            <v>Metropolitan Water District of Southern California (MWD) - 2046</v>
          </cell>
        </row>
        <row r="87">
          <cell r="F87" t="str">
            <v>Modesto Irrigation District (MID) - 3045</v>
          </cell>
        </row>
        <row r="88">
          <cell r="F88" t="str">
            <v>Moreno Valley Utility (MVU) - 3046</v>
          </cell>
        </row>
        <row r="89">
          <cell r="F89" t="str">
            <v>Morgan Stanley Capital Group Inc. - EPE - 2369</v>
          </cell>
        </row>
        <row r="90">
          <cell r="F90" t="str">
            <v>Nevada Power Company (dba NV Energy) - 2388</v>
          </cell>
        </row>
        <row r="91">
          <cell r="F91" t="str">
            <v>Nextera Energy Power Marketing, LLC - 104225</v>
          </cell>
        </row>
        <row r="92">
          <cell r="F92" t="str">
            <v>Noble Americas Energy Solutions LLC - 3018</v>
          </cell>
        </row>
        <row r="93">
          <cell r="F93" t="str">
            <v>Noble Americas Gas &amp; Power Corporation - 2500</v>
          </cell>
        </row>
        <row r="94">
          <cell r="F94" t="str">
            <v>Northern California Power Agency (NCPA) - 2215</v>
          </cell>
        </row>
        <row r="95">
          <cell r="F95" t="str">
            <v>Pacific Gas and Electric Company (PG&amp;E) - Electric Power Entity - 3002</v>
          </cell>
        </row>
        <row r="96">
          <cell r="F96" t="str">
            <v>PacifiCorp - 3003</v>
          </cell>
        </row>
        <row r="97">
          <cell r="F97" t="str">
            <v>Pasadena Water and Power, 91101 - 3049</v>
          </cell>
        </row>
        <row r="98">
          <cell r="F98" t="str">
            <v>Pilot Power Group, Inc. - 3016</v>
          </cell>
        </row>
        <row r="99">
          <cell r="F99" t="str">
            <v>Pittsburg Power Company dba Island Energy - EPE - 5024</v>
          </cell>
        </row>
        <row r="100">
          <cell r="F100" t="str">
            <v>Plumas-Sierra REC - 3100</v>
          </cell>
        </row>
        <row r="101">
          <cell r="F101" t="str">
            <v>Port of Oakland - 3051</v>
          </cell>
        </row>
        <row r="102">
          <cell r="F102" t="str">
            <v>Port of Stockton, 95203 - 3052</v>
          </cell>
        </row>
        <row r="103">
          <cell r="F103" t="str">
            <v>Portland General Electric Company - 2127</v>
          </cell>
        </row>
        <row r="104">
          <cell r="F104" t="str">
            <v>Power and Water Resources Pooling Authority (PWRPA) - 3053</v>
          </cell>
        </row>
        <row r="105">
          <cell r="F105" t="str">
            <v>Powerex Corp - AO/CS - 3101</v>
          </cell>
        </row>
        <row r="106">
          <cell r="F106" t="str">
            <v>Powerex Corp. - Marketer - 2243</v>
          </cell>
        </row>
        <row r="107">
          <cell r="F107" t="str">
            <v>Puget Sound Energy - 104462</v>
          </cell>
        </row>
        <row r="108">
          <cell r="F108" t="str">
            <v>Rainbow Energy Marketing Corporation (REMC) - 104203</v>
          </cell>
        </row>
        <row r="109">
          <cell r="F109" t="str">
            <v>Rancho Cucamonga Municipal Utility - 3054</v>
          </cell>
        </row>
        <row r="110">
          <cell r="F110" t="str">
            <v>Redding Electric Utility - 3055</v>
          </cell>
        </row>
        <row r="111">
          <cell r="F111" t="str">
            <v>Roseville Electric - 3057</v>
          </cell>
        </row>
        <row r="112">
          <cell r="F112" t="str">
            <v>Sacramento Municipal Utility District (SMUD) - Electric Power Entity - 3058</v>
          </cell>
        </row>
        <row r="113">
          <cell r="F113" t="str">
            <v>Salt River Project - 104461</v>
          </cell>
        </row>
        <row r="114">
          <cell r="F114" t="str">
            <v>San Diego Gas &amp; Electric (SDG&amp;E) - Electric Power Entity - 3004</v>
          </cell>
        </row>
        <row r="115">
          <cell r="F115" t="str">
            <v>San Francisco Hetch Hetchy Water and Power, CCSF - 3028</v>
          </cell>
        </row>
        <row r="116">
          <cell r="F116" t="str">
            <v>Sempra Generation - 2060</v>
          </cell>
        </row>
        <row r="117">
          <cell r="F117" t="str">
            <v>Shell Energy North America (US), L.P. - 3081</v>
          </cell>
        </row>
        <row r="118">
          <cell r="F118" t="str">
            <v>Sierra Pacific Power Company (dba NV Energy) - Marketer - 2438</v>
          </cell>
        </row>
        <row r="119">
          <cell r="F119" t="str">
            <v>Silicon Valley Power (SVP), City of Santa Clara - 3061</v>
          </cell>
        </row>
        <row r="120">
          <cell r="F120" t="str">
            <v>Sonoma Clean Power (SCP) - 104537</v>
          </cell>
        </row>
        <row r="121">
          <cell r="F121" t="str">
            <v>Southern California Edison (SCE) - Electric Power Entity - 3005</v>
          </cell>
        </row>
        <row r="122">
          <cell r="F122" t="str">
            <v>Surprise Valley Electrification Corp. - 104579</v>
          </cell>
        </row>
        <row r="123">
          <cell r="F123" t="str">
            <v>Tenaska Power Services Co. - 104194</v>
          </cell>
        </row>
        <row r="124">
          <cell r="F124" t="str">
            <v>Terra-Gen Dixie Valley, LLC - 2427</v>
          </cell>
        </row>
        <row r="125">
          <cell r="F125" t="str">
            <v>The Energy Authority, Inc. - 2278</v>
          </cell>
        </row>
        <row r="126">
          <cell r="F126" t="str">
            <v>Tiger Natural Gas , Inc. - 5047</v>
          </cell>
        </row>
        <row r="127">
          <cell r="F127" t="str">
            <v>TransAlta Energy Marketing (US), Inc. - 2312</v>
          </cell>
        </row>
        <row r="128">
          <cell r="F128" t="str">
            <v>TransCanada Energy Sales Ltd. - 104230</v>
          </cell>
        </row>
        <row r="129">
          <cell r="F129" t="str">
            <v>Truckee Donner Public Utilities District - 3063</v>
          </cell>
        </row>
        <row r="130">
          <cell r="F130" t="str">
            <v>Turlock Irrigation District (TID) - 3064</v>
          </cell>
        </row>
        <row r="131">
          <cell r="F131" t="str">
            <v>Twin Eagle Resource Management, LLC - 104515</v>
          </cell>
        </row>
        <row r="132">
          <cell r="F132" t="str">
            <v>University of California, Office of the President - EPE - 104518</v>
          </cell>
        </row>
        <row r="133">
          <cell r="F133" t="str">
            <v>Valley Electric Association - 104510</v>
          </cell>
        </row>
        <row r="134">
          <cell r="F134" t="str">
            <v>Victorville Municipal Utility Services - 3067</v>
          </cell>
        </row>
        <row r="135">
          <cell r="F135" t="str">
            <v>Vitol Inc. - EPE - 104467</v>
          </cell>
        </row>
        <row r="136">
          <cell r="F136" t="str">
            <v>WAPA - Desert Southwest Region - 3078</v>
          </cell>
        </row>
        <row r="137">
          <cell r="F137" t="str">
            <v>WAPA - Sierra Nevada Region - 3079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sion"/>
      <sheetName val="Guidance "/>
      <sheetName val="Data Export XML"/>
      <sheetName val="Reporter Info"/>
      <sheetName val="COVERED EM CALC"/>
      <sheetName val="Retail Provider"/>
      <sheetName val="Unspec Imports"/>
      <sheetName val="Spec Imports"/>
      <sheetName val="RPS Adjust"/>
      <sheetName val="REC Serial"/>
      <sheetName val="QE Adjust"/>
      <sheetName val="Unspec Exports"/>
      <sheetName val="Spec Exports"/>
      <sheetName val="Wheeled"/>
      <sheetName val="Facility Reg Info"/>
      <sheetName val="POR.POD"/>
      <sheetName val="2013 EFs"/>
      <sheetName val="Other 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A2" t="str">
            <v>AB.BC</v>
          </cell>
        </row>
        <row r="3">
          <cell r="A3" t="str">
            <v>AB.MT.MATL</v>
          </cell>
        </row>
        <row r="4">
          <cell r="A4" t="str">
            <v>AB.SK.MC</v>
          </cell>
        </row>
        <row r="5">
          <cell r="A5" t="str">
            <v>AB.system</v>
          </cell>
        </row>
        <row r="6">
          <cell r="A6" t="str">
            <v>ABITIBI69</v>
          </cell>
        </row>
        <row r="7">
          <cell r="A7" t="str">
            <v>ABQ</v>
          </cell>
        </row>
        <row r="8">
          <cell r="A8" t="str">
            <v>ADAMS115</v>
          </cell>
        </row>
        <row r="9">
          <cell r="A9" t="str">
            <v>ADL</v>
          </cell>
        </row>
        <row r="10">
          <cell r="A10" t="str">
            <v>AFTON345</v>
          </cell>
        </row>
        <row r="11">
          <cell r="A11" t="str">
            <v>AFTS</v>
          </cell>
        </row>
        <row r="12">
          <cell r="A12" t="str">
            <v>AIR230</v>
          </cell>
        </row>
        <row r="13">
          <cell r="A13" t="str">
            <v>AIRPORT115</v>
          </cell>
        </row>
        <row r="14">
          <cell r="A14" t="str">
            <v>AIRWAY</v>
          </cell>
        </row>
        <row r="15">
          <cell r="A15" t="str">
            <v>ALAMOGORDO115</v>
          </cell>
        </row>
        <row r="16">
          <cell r="A16" t="str">
            <v>ALAMOGRDO115</v>
          </cell>
        </row>
        <row r="17">
          <cell r="A17" t="str">
            <v>Albany12Pac</v>
          </cell>
        </row>
        <row r="18">
          <cell r="A18" t="str">
            <v>ALCOAIntalco</v>
          </cell>
        </row>
        <row r="19">
          <cell r="A19" t="str">
            <v>ALCOATroutdl</v>
          </cell>
        </row>
        <row r="20">
          <cell r="A20" t="str">
            <v>ALCOAWenatch</v>
          </cell>
        </row>
        <row r="21">
          <cell r="A21" t="str">
            <v>ALEXANDER230</v>
          </cell>
        </row>
        <row r="22">
          <cell r="A22" t="str">
            <v>ALGO</v>
          </cell>
        </row>
        <row r="23">
          <cell r="A23" t="str">
            <v>ALIQUIDE449</v>
          </cell>
        </row>
        <row r="24">
          <cell r="A24" t="str">
            <v>Allston</v>
          </cell>
        </row>
        <row r="25">
          <cell r="A25" t="str">
            <v>AMBROSIA230</v>
          </cell>
        </row>
        <row r="26">
          <cell r="A26" t="str">
            <v>AMES</v>
          </cell>
        </row>
        <row r="27">
          <cell r="A27" t="str">
            <v>AMRAD115</v>
          </cell>
        </row>
        <row r="28">
          <cell r="A28" t="str">
            <v>AMRAD345</v>
          </cell>
        </row>
        <row r="29">
          <cell r="A29" t="str">
            <v>ANDK</v>
          </cell>
        </row>
        <row r="30">
          <cell r="A30" t="str">
            <v>ANTE</v>
          </cell>
        </row>
        <row r="31">
          <cell r="A31" t="str">
            <v>ANTELOPE</v>
          </cell>
        </row>
        <row r="32">
          <cell r="A32" t="str">
            <v>APACHE115</v>
          </cell>
        </row>
        <row r="33">
          <cell r="A33" t="str">
            <v>APACHE230</v>
          </cell>
        </row>
        <row r="34">
          <cell r="A34" t="str">
            <v>APRODUCTS449</v>
          </cell>
        </row>
        <row r="35">
          <cell r="A35" t="str">
            <v>ARH</v>
          </cell>
        </row>
        <row r="36">
          <cell r="A36" t="str">
            <v>ArlngtnWind</v>
          </cell>
        </row>
        <row r="37">
          <cell r="A37" t="str">
            <v>ArlngtnWinLD</v>
          </cell>
        </row>
        <row r="38">
          <cell r="A38" t="str">
            <v>ARTESIA345</v>
          </cell>
        </row>
        <row r="39">
          <cell r="A39" t="str">
            <v>ATL</v>
          </cell>
        </row>
        <row r="40">
          <cell r="A40" t="str">
            <v>Atofina</v>
          </cell>
        </row>
        <row r="41">
          <cell r="A41" t="str">
            <v>AU</v>
          </cell>
        </row>
        <row r="42">
          <cell r="A42" t="str">
            <v>AU115</v>
          </cell>
        </row>
        <row r="43">
          <cell r="A43" t="str">
            <v>AVA.BPAT</v>
          </cell>
        </row>
        <row r="44">
          <cell r="A44" t="str">
            <v>AVA.SYS</v>
          </cell>
        </row>
        <row r="45">
          <cell r="A45" t="str">
            <v>AVAPUD</v>
          </cell>
        </row>
        <row r="46">
          <cell r="A46" t="str">
            <v>AVAREMOTELD</v>
          </cell>
        </row>
        <row r="47">
          <cell r="A47" t="str">
            <v>AVAT.NWMT</v>
          </cell>
        </row>
        <row r="48">
          <cell r="A48" t="str">
            <v>AXBA</v>
          </cell>
        </row>
        <row r="49">
          <cell r="A49" t="str">
            <v>BANC.System</v>
          </cell>
        </row>
        <row r="50">
          <cell r="A50" t="str">
            <v>BANCSYS</v>
          </cell>
        </row>
        <row r="51">
          <cell r="A51" t="str">
            <v>BandonPac</v>
          </cell>
        </row>
        <row r="52">
          <cell r="A52" t="str">
            <v>BANNACK</v>
          </cell>
        </row>
        <row r="53">
          <cell r="A53" t="str">
            <v>BARR</v>
          </cell>
        </row>
        <row r="54">
          <cell r="A54" t="str">
            <v>BC.US.BORDER</v>
          </cell>
        </row>
        <row r="55">
          <cell r="A55" t="str">
            <v>BCHA.INT.SYS</v>
          </cell>
        </row>
        <row r="56">
          <cell r="A56" t="str">
            <v>BCHA.INTERNL</v>
          </cell>
        </row>
        <row r="57">
          <cell r="A57" t="str">
            <v>BCHA.LM.SYS</v>
          </cell>
        </row>
        <row r="58">
          <cell r="A58" t="str">
            <v>BCHA.LOSSES</v>
          </cell>
        </row>
        <row r="59">
          <cell r="A59" t="str">
            <v>BCHA.NTWK.LD</v>
          </cell>
        </row>
        <row r="60">
          <cell r="A60" t="str">
            <v>BCHA.SEL.LD</v>
          </cell>
        </row>
        <row r="61">
          <cell r="A61" t="str">
            <v>BCS.ORCH449</v>
          </cell>
        </row>
        <row r="62">
          <cell r="A62" t="str">
            <v>BCS.ROED449</v>
          </cell>
        </row>
        <row r="63">
          <cell r="A63" t="str">
            <v>BCSYS</v>
          </cell>
        </row>
        <row r="64">
          <cell r="A64" t="str">
            <v>BEAST</v>
          </cell>
        </row>
        <row r="65">
          <cell r="A65" t="str">
            <v>BELN</v>
          </cell>
        </row>
        <row r="66">
          <cell r="A66" t="str">
            <v>Benton</v>
          </cell>
        </row>
        <row r="67">
          <cell r="A67" t="str">
            <v>BentonREA</v>
          </cell>
        </row>
        <row r="68">
          <cell r="A68" t="str">
            <v>BERGIN115</v>
          </cell>
        </row>
        <row r="69">
          <cell r="A69" t="str">
            <v>Bethel</v>
          </cell>
        </row>
        <row r="70">
          <cell r="A70" t="str">
            <v>BeverlyPark</v>
          </cell>
        </row>
        <row r="71">
          <cell r="A71" t="str">
            <v>BHCE</v>
          </cell>
        </row>
        <row r="72">
          <cell r="A72" t="str">
            <v>BICKNELL230</v>
          </cell>
        </row>
        <row r="73">
          <cell r="A73" t="str">
            <v>BIGBEND</v>
          </cell>
        </row>
        <row r="74">
          <cell r="A74" t="str">
            <v>BigEddy</v>
          </cell>
        </row>
        <row r="75">
          <cell r="A75" t="str">
            <v>BigFork</v>
          </cell>
        </row>
        <row r="76">
          <cell r="A76" t="str">
            <v>BigHorn2</v>
          </cell>
        </row>
        <row r="77">
          <cell r="A77" t="str">
            <v>Biglow</v>
          </cell>
        </row>
        <row r="78">
          <cell r="A78" t="str">
            <v>BiglowLD</v>
          </cell>
        </row>
        <row r="79">
          <cell r="A79" t="str">
            <v>BKB</v>
          </cell>
        </row>
        <row r="80">
          <cell r="A80" t="str">
            <v>BLACKMESA230</v>
          </cell>
        </row>
        <row r="81">
          <cell r="A81" t="str">
            <v>BLAINE</v>
          </cell>
        </row>
        <row r="82">
          <cell r="A82" t="str">
            <v>BLLK</v>
          </cell>
        </row>
        <row r="83">
          <cell r="A83" t="str">
            <v>BLUE</v>
          </cell>
        </row>
        <row r="84">
          <cell r="A84" t="str">
            <v>BLY1_KNB1</v>
          </cell>
        </row>
        <row r="85">
          <cell r="A85" t="str">
            <v>BLY2_KNB2</v>
          </cell>
        </row>
        <row r="86">
          <cell r="A86" t="str">
            <v>BLYTHE161</v>
          </cell>
        </row>
        <row r="87">
          <cell r="A87" t="str">
            <v>BMGS</v>
          </cell>
        </row>
        <row r="88">
          <cell r="A88" t="str">
            <v>BMPR</v>
          </cell>
        </row>
        <row r="89">
          <cell r="A89" t="str">
            <v>Boardman</v>
          </cell>
        </row>
        <row r="90">
          <cell r="A90" t="str">
            <v>Boardman115</v>
          </cell>
        </row>
        <row r="91">
          <cell r="A91" t="str">
            <v>BODO</v>
          </cell>
        </row>
        <row r="92">
          <cell r="A92" t="str">
            <v>BOEING449</v>
          </cell>
        </row>
        <row r="93">
          <cell r="A93" t="str">
            <v>BONNEYBRO115</v>
          </cell>
        </row>
        <row r="94">
          <cell r="A94" t="str">
            <v>BOON</v>
          </cell>
        </row>
        <row r="95">
          <cell r="A95" t="str">
            <v>BORA</v>
          </cell>
        </row>
        <row r="96">
          <cell r="A96" t="str">
            <v>Boundary</v>
          </cell>
        </row>
        <row r="97">
          <cell r="A97" t="str">
            <v>BOYD</v>
          </cell>
        </row>
        <row r="98">
          <cell r="A98" t="str">
            <v>BOZ</v>
          </cell>
        </row>
        <row r="99">
          <cell r="A99" t="str">
            <v>BPAGEN</v>
          </cell>
        </row>
        <row r="100">
          <cell r="A100" t="str">
            <v>BPAPower</v>
          </cell>
        </row>
        <row r="101">
          <cell r="A101" t="str">
            <v>BPAPUNSCHD</v>
          </cell>
        </row>
        <row r="102">
          <cell r="A102" t="str">
            <v>BPASID</v>
          </cell>
        </row>
        <row r="103">
          <cell r="A103" t="str">
            <v>BPAT.CHPD</v>
          </cell>
        </row>
        <row r="104">
          <cell r="A104" t="str">
            <v>BPAT.DOPD</v>
          </cell>
        </row>
        <row r="105">
          <cell r="A105" t="str">
            <v>BPAT.GCPD</v>
          </cell>
        </row>
        <row r="106">
          <cell r="A106" t="str">
            <v>BPAT.NWMT</v>
          </cell>
        </row>
        <row r="107">
          <cell r="A107" t="str">
            <v>BPAT.PACW</v>
          </cell>
        </row>
        <row r="108">
          <cell r="A108" t="str">
            <v>BPAT.PGE</v>
          </cell>
        </row>
        <row r="109">
          <cell r="A109" t="str">
            <v>BPAT.PSEI</v>
          </cell>
        </row>
        <row r="110">
          <cell r="A110" t="str">
            <v>BPAT.SCL</v>
          </cell>
        </row>
        <row r="111">
          <cell r="A111" t="str">
            <v>BPAT.TPU</v>
          </cell>
        </row>
        <row r="112">
          <cell r="A112" t="str">
            <v>BPAT_Test</v>
          </cell>
        </row>
        <row r="113">
          <cell r="A113" t="str">
            <v>BPAT-CA-DEFAULT</v>
          </cell>
        </row>
        <row r="114">
          <cell r="A114" t="str">
            <v>BPATPUD</v>
          </cell>
        </row>
        <row r="115">
          <cell r="A115" t="str">
            <v>BPATRes</v>
          </cell>
        </row>
        <row r="116">
          <cell r="A116" t="str">
            <v>BPCherryPt</v>
          </cell>
        </row>
        <row r="117">
          <cell r="A117" t="str">
            <v>BPREFINRY449</v>
          </cell>
        </row>
        <row r="118">
          <cell r="A118" t="str">
            <v>BRAW1</v>
          </cell>
        </row>
        <row r="119">
          <cell r="A119" t="str">
            <v>BRDY</v>
          </cell>
        </row>
        <row r="120">
          <cell r="A120" t="str">
            <v>BROADVIEW</v>
          </cell>
        </row>
        <row r="121">
          <cell r="A121" t="str">
            <v>BRSS</v>
          </cell>
        </row>
        <row r="122">
          <cell r="A122" t="str">
            <v>BRVD</v>
          </cell>
        </row>
        <row r="123">
          <cell r="A123" t="str">
            <v>BSAN</v>
          </cell>
        </row>
        <row r="124">
          <cell r="A124" t="str">
            <v>BTHD</v>
          </cell>
        </row>
        <row r="125">
          <cell r="A125" t="str">
            <v>BUCKEYE230</v>
          </cell>
        </row>
        <row r="126">
          <cell r="A126" t="str">
            <v>BURBSYSTEM</v>
          </cell>
        </row>
        <row r="127">
          <cell r="A127" t="str">
            <v>BURL</v>
          </cell>
        </row>
        <row r="128">
          <cell r="A128" t="str">
            <v>BW230</v>
          </cell>
        </row>
        <row r="129">
          <cell r="A129" t="str">
            <v>BWAT</v>
          </cell>
        </row>
        <row r="130">
          <cell r="A130" t="str">
            <v>CABA</v>
          </cell>
        </row>
        <row r="131">
          <cell r="A131" t="str">
            <v>CALRIDGE</v>
          </cell>
        </row>
        <row r="132">
          <cell r="A132" t="str">
            <v>CANYONFERRY</v>
          </cell>
        </row>
        <row r="133">
          <cell r="A133" t="str">
            <v>CaptainJack</v>
          </cell>
        </row>
        <row r="134">
          <cell r="A134" t="str">
            <v>CARRDRAW</v>
          </cell>
        </row>
        <row r="135">
          <cell r="A135" t="str">
            <v>CASCADE</v>
          </cell>
        </row>
        <row r="136">
          <cell r="A136" t="str">
            <v>CCI</v>
          </cell>
        </row>
        <row r="137">
          <cell r="A137" t="str">
            <v>CCSF.SYSTEM</v>
          </cell>
        </row>
        <row r="138">
          <cell r="A138" t="str">
            <v>CCW</v>
          </cell>
        </row>
        <row r="139">
          <cell r="A139" t="str">
            <v>CDEL</v>
          </cell>
        </row>
        <row r="140">
          <cell r="A140" t="str">
            <v>CEDAR</v>
          </cell>
        </row>
        <row r="141">
          <cell r="A141" t="str">
            <v>CEDARFALLGEN</v>
          </cell>
        </row>
        <row r="142">
          <cell r="A142" t="str">
            <v>CEDARMTN500</v>
          </cell>
        </row>
        <row r="143">
          <cell r="A143" t="str">
            <v>Central</v>
          </cell>
        </row>
        <row r="144">
          <cell r="A144" t="str">
            <v>Centralia</v>
          </cell>
        </row>
        <row r="145">
          <cell r="A145" t="str">
            <v>CentraliaBR</v>
          </cell>
        </row>
        <row r="146">
          <cell r="A146" t="str">
            <v>CENTRALIACTY</v>
          </cell>
        </row>
        <row r="147">
          <cell r="A147" t="str">
            <v>CentraliaLD</v>
          </cell>
        </row>
        <row r="148">
          <cell r="A148" t="str">
            <v>CENTRALLINCN</v>
          </cell>
        </row>
        <row r="149">
          <cell r="A149" t="str">
            <v>CFEROA</v>
          </cell>
        </row>
        <row r="150">
          <cell r="A150" t="str">
            <v>CFETIJ</v>
          </cell>
        </row>
        <row r="151">
          <cell r="A151" t="str">
            <v>CGUL</v>
          </cell>
        </row>
        <row r="152">
          <cell r="A152" t="str">
            <v>CHAR</v>
          </cell>
        </row>
        <row r="153">
          <cell r="A153" t="str">
            <v>ChehalisPrLD</v>
          </cell>
        </row>
        <row r="154">
          <cell r="A154" t="str">
            <v>ChehalisPwr</v>
          </cell>
        </row>
        <row r="155">
          <cell r="A155" t="str">
            <v>CHELAN.AVA</v>
          </cell>
        </row>
        <row r="156">
          <cell r="A156" t="str">
            <v>CHOLLA230</v>
          </cell>
        </row>
        <row r="157">
          <cell r="A157" t="str">
            <v>CHOLLA345</v>
          </cell>
        </row>
        <row r="158">
          <cell r="A158" t="str">
            <v>CHOLLA500</v>
          </cell>
        </row>
        <row r="159">
          <cell r="A159" t="str">
            <v>CHOLLA69</v>
          </cell>
        </row>
        <row r="160">
          <cell r="A160" t="str">
            <v>CHPD</v>
          </cell>
        </row>
        <row r="161">
          <cell r="A161" t="str">
            <v>Clallam</v>
          </cell>
        </row>
        <row r="162">
          <cell r="A162" t="str">
            <v>CLAP</v>
          </cell>
        </row>
        <row r="163">
          <cell r="A163" t="str">
            <v>Clark</v>
          </cell>
        </row>
        <row r="164">
          <cell r="A164" t="str">
            <v>Clatskanie</v>
          </cell>
        </row>
        <row r="165">
          <cell r="A165" t="str">
            <v>CLAY</v>
          </cell>
        </row>
        <row r="166">
          <cell r="A166" t="str">
            <v>CLGN</v>
          </cell>
        </row>
        <row r="167">
          <cell r="A167" t="str">
            <v>CLYMER</v>
          </cell>
        </row>
        <row r="168">
          <cell r="A168" t="str">
            <v>COACH2</v>
          </cell>
        </row>
        <row r="169">
          <cell r="A169" t="str">
            <v>COBH</v>
          </cell>
        </row>
        <row r="170">
          <cell r="A170" t="str">
            <v>CoffinButte2</v>
          </cell>
        </row>
        <row r="171">
          <cell r="A171" t="str">
            <v>CO-GREEN</v>
          </cell>
        </row>
        <row r="172">
          <cell r="A172" t="str">
            <v>COL</v>
          </cell>
        </row>
        <row r="173">
          <cell r="A173" t="str">
            <v>ColFallsAlum</v>
          </cell>
        </row>
        <row r="174">
          <cell r="A174" t="str">
            <v>COLL</v>
          </cell>
        </row>
        <row r="175">
          <cell r="A175" t="str">
            <v>ColRidge</v>
          </cell>
        </row>
        <row r="176">
          <cell r="A176" t="str">
            <v>COLSTRIP</v>
          </cell>
        </row>
        <row r="177">
          <cell r="A177" t="str">
            <v>Columbia230</v>
          </cell>
        </row>
        <row r="178">
          <cell r="A178" t="str">
            <v>COLUMBIAREA</v>
          </cell>
        </row>
        <row r="179">
          <cell r="A179" t="str">
            <v>COMA</v>
          </cell>
        </row>
        <row r="180">
          <cell r="A180" t="str">
            <v>COMBINEHILLS</v>
          </cell>
        </row>
        <row r="181">
          <cell r="A181" t="str">
            <v>CondonWind</v>
          </cell>
        </row>
        <row r="182">
          <cell r="A182" t="str">
            <v>CONT.NW449</v>
          </cell>
        </row>
        <row r="183">
          <cell r="A183" t="str">
            <v>COOLIDGE</v>
          </cell>
        </row>
        <row r="184">
          <cell r="A184" t="str">
            <v>COOSPAC</v>
          </cell>
        </row>
        <row r="185">
          <cell r="A185" t="str">
            <v>COPPER230</v>
          </cell>
        </row>
        <row r="186">
          <cell r="A186" t="str">
            <v>CORONADO500</v>
          </cell>
        </row>
        <row r="187">
          <cell r="A187" t="str">
            <v>CORONADO69</v>
          </cell>
        </row>
        <row r="188">
          <cell r="A188" t="str">
            <v>Cowlitz</v>
          </cell>
        </row>
        <row r="189">
          <cell r="A189" t="str">
            <v>COYOTE115</v>
          </cell>
        </row>
        <row r="190">
          <cell r="A190" t="str">
            <v>CoyoteSprng1</v>
          </cell>
        </row>
        <row r="191">
          <cell r="A191" t="str">
            <v>CoyoteSprng2</v>
          </cell>
        </row>
        <row r="192">
          <cell r="A192" t="str">
            <v>COYSPR</v>
          </cell>
        </row>
        <row r="193">
          <cell r="A193" t="str">
            <v>CRAG</v>
          </cell>
        </row>
        <row r="194">
          <cell r="A194" t="str">
            <v>CRCSYS</v>
          </cell>
        </row>
        <row r="195">
          <cell r="A195" t="str">
            <v>CRG</v>
          </cell>
        </row>
        <row r="196">
          <cell r="A196" t="str">
            <v>CRGBUS5</v>
          </cell>
        </row>
        <row r="197">
          <cell r="A197" t="str">
            <v>Crossover</v>
          </cell>
        </row>
        <row r="198">
          <cell r="A198" t="str">
            <v>CRYSTAL500</v>
          </cell>
        </row>
        <row r="199">
          <cell r="A199" t="str">
            <v>CSPPGEN</v>
          </cell>
        </row>
        <row r="200">
          <cell r="A200" t="str">
            <v>CSUSYSTEM</v>
          </cell>
        </row>
        <row r="201">
          <cell r="A201" t="str">
            <v>CTW230</v>
          </cell>
        </row>
        <row r="202">
          <cell r="A202" t="str">
            <v>CVPGen</v>
          </cell>
        </row>
        <row r="203">
          <cell r="A203" t="str">
            <v>DALREED</v>
          </cell>
        </row>
        <row r="204">
          <cell r="A204" t="str">
            <v>DAVIS230</v>
          </cell>
        </row>
        <row r="205">
          <cell r="A205" t="str">
            <v>DEAA</v>
          </cell>
        </row>
        <row r="206">
          <cell r="A206" t="str">
            <v>DEER_CREEK</v>
          </cell>
        </row>
        <row r="207">
          <cell r="A207" t="str">
            <v>DELTA</v>
          </cell>
        </row>
        <row r="208">
          <cell r="A208" t="str">
            <v>DeMoss</v>
          </cell>
        </row>
        <row r="209">
          <cell r="A209" t="str">
            <v>DemossPac</v>
          </cell>
        </row>
        <row r="210">
          <cell r="A210" t="str">
            <v>DESERTBASIN</v>
          </cell>
        </row>
        <row r="211">
          <cell r="A211" t="str">
            <v>DESPWR</v>
          </cell>
        </row>
        <row r="212">
          <cell r="A212" t="str">
            <v>DEVERS230</v>
          </cell>
        </row>
        <row r="213">
          <cell r="A213" t="str">
            <v>DEVERS500</v>
          </cell>
        </row>
        <row r="214">
          <cell r="A214" t="str">
            <v>DISCBAY</v>
          </cell>
        </row>
        <row r="215">
          <cell r="A215" t="str">
            <v>DJ</v>
          </cell>
        </row>
        <row r="216">
          <cell r="A216" t="str">
            <v>DONAANA115</v>
          </cell>
        </row>
        <row r="217">
          <cell r="A217" t="str">
            <v>DOPD.CHPD</v>
          </cell>
        </row>
        <row r="218">
          <cell r="A218" t="str">
            <v>DOSCONDAD230</v>
          </cell>
        </row>
        <row r="219">
          <cell r="A219" t="str">
            <v>DRNCH</v>
          </cell>
        </row>
        <row r="220">
          <cell r="A220" t="str">
            <v>DRYCREEK</v>
          </cell>
        </row>
        <row r="221">
          <cell r="A221" t="str">
            <v>DRYFORK</v>
          </cell>
        </row>
        <row r="222">
          <cell r="A222" t="str">
            <v>DRYLAKEEAST</v>
          </cell>
        </row>
        <row r="223">
          <cell r="A223" t="str">
            <v>DRYLAKEWEST</v>
          </cell>
        </row>
        <row r="224">
          <cell r="A224" t="str">
            <v>DS2</v>
          </cell>
        </row>
        <row r="225">
          <cell r="A225" t="str">
            <v>DURA</v>
          </cell>
        </row>
        <row r="226">
          <cell r="A226" t="str">
            <v>EAST</v>
          </cell>
        </row>
        <row r="227">
          <cell r="A227" t="str">
            <v>EASTGEN</v>
          </cell>
        </row>
        <row r="228">
          <cell r="A228" t="str">
            <v>ECSS</v>
          </cell>
        </row>
        <row r="229">
          <cell r="A229" t="str">
            <v>EDDY230</v>
          </cell>
        </row>
        <row r="230">
          <cell r="A230" t="str">
            <v>EDDY345</v>
          </cell>
        </row>
        <row r="231">
          <cell r="A231" t="str">
            <v>EE1</v>
          </cell>
        </row>
        <row r="232">
          <cell r="A232" t="str">
            <v>EE2</v>
          </cell>
        </row>
        <row r="233">
          <cell r="A233" t="str">
            <v>EGAluminum</v>
          </cell>
        </row>
        <row r="234">
          <cell r="A234" t="str">
            <v>EIPOD</v>
          </cell>
        </row>
        <row r="235">
          <cell r="A235" t="str">
            <v>EIPOR</v>
          </cell>
        </row>
        <row r="236">
          <cell r="A236" t="str">
            <v>ELBU</v>
          </cell>
        </row>
        <row r="237">
          <cell r="A237" t="str">
            <v>ELD230SYS</v>
          </cell>
        </row>
        <row r="238">
          <cell r="A238" t="str">
            <v>ELD500SYS</v>
          </cell>
        </row>
        <row r="239">
          <cell r="A239" t="str">
            <v>ELDORADO230</v>
          </cell>
        </row>
        <row r="240">
          <cell r="A240" t="str">
            <v>ELDORADO500</v>
          </cell>
        </row>
        <row r="241">
          <cell r="A241" t="str">
            <v>Ellensburg</v>
          </cell>
        </row>
        <row r="242">
          <cell r="A242" t="str">
            <v>ELM</v>
          </cell>
        </row>
        <row r="243">
          <cell r="A243" t="str">
            <v>ELPA</v>
          </cell>
        </row>
        <row r="244">
          <cell r="A244" t="str">
            <v>ELV230</v>
          </cell>
        </row>
        <row r="245">
          <cell r="A245" t="str">
            <v>Emerald</v>
          </cell>
        </row>
        <row r="246">
          <cell r="A246" t="str">
            <v>EnergyNW</v>
          </cell>
        </row>
        <row r="247">
          <cell r="A247" t="str">
            <v>ENPR</v>
          </cell>
        </row>
        <row r="248">
          <cell r="A248" t="str">
            <v>ENPRISE.PUMP</v>
          </cell>
        </row>
        <row r="249">
          <cell r="A249" t="str">
            <v>EPE</v>
          </cell>
        </row>
        <row r="250">
          <cell r="A250" t="str">
            <v>EPE.CFE.JREZ</v>
          </cell>
        </row>
        <row r="251">
          <cell r="A251" t="str">
            <v>EPE.LOCALGEN</v>
          </cell>
        </row>
        <row r="252">
          <cell r="A252" t="str">
            <v>EPE.RESLOAD</v>
          </cell>
        </row>
        <row r="253">
          <cell r="A253" t="str">
            <v>EQUILON449</v>
          </cell>
        </row>
        <row r="254">
          <cell r="A254" t="str">
            <v>ETA115</v>
          </cell>
        </row>
        <row r="255">
          <cell r="A255" t="str">
            <v>EWEB</v>
          </cell>
        </row>
        <row r="256">
          <cell r="A256" t="str">
            <v>FALLRIVER</v>
          </cell>
        </row>
        <row r="257">
          <cell r="A257" t="str">
            <v>FBC.LAM.LD</v>
          </cell>
        </row>
        <row r="258">
          <cell r="A258" t="str">
            <v>FBC.OK.LD</v>
          </cell>
        </row>
        <row r="259">
          <cell r="A259" t="str">
            <v>FBC.PRI.LD</v>
          </cell>
        </row>
        <row r="260">
          <cell r="A260" t="str">
            <v>FERNDAL.PUMP</v>
          </cell>
        </row>
        <row r="261">
          <cell r="A261" t="str">
            <v>FGE</v>
          </cell>
        </row>
        <row r="262">
          <cell r="A262" t="str">
            <v>FinleyGen</v>
          </cell>
        </row>
        <row r="263">
          <cell r="A263" t="str">
            <v>FIY230</v>
          </cell>
        </row>
        <row r="264">
          <cell r="A264" t="str">
            <v>Flathead</v>
          </cell>
        </row>
        <row r="265">
          <cell r="A265" t="str">
            <v>FLN230</v>
          </cell>
        </row>
        <row r="266">
          <cell r="A266" t="str">
            <v>FLUP</v>
          </cell>
        </row>
        <row r="267">
          <cell r="A267" t="str">
            <v>FOL230</v>
          </cell>
        </row>
        <row r="268">
          <cell r="A268" t="str">
            <v>FON</v>
          </cell>
        </row>
        <row r="269">
          <cell r="A269" t="str">
            <v>ForestGrove</v>
          </cell>
        </row>
        <row r="270">
          <cell r="A270" t="str">
            <v>FOURCORNE230</v>
          </cell>
        </row>
        <row r="271">
          <cell r="A271" t="str">
            <v>FOURCORNE345</v>
          </cell>
        </row>
        <row r="272">
          <cell r="A272" t="str">
            <v>FOURCORNE500</v>
          </cell>
        </row>
        <row r="273">
          <cell r="A273" t="str">
            <v>FOURCORNE69</v>
          </cell>
        </row>
        <row r="274">
          <cell r="A274" t="str">
            <v>Franklin</v>
          </cell>
        </row>
        <row r="275">
          <cell r="A275" t="str">
            <v>FredricksoLD</v>
          </cell>
        </row>
        <row r="276">
          <cell r="A276" t="str">
            <v>Fredrickson</v>
          </cell>
        </row>
        <row r="277">
          <cell r="A277" t="str">
            <v>FrkPasGen</v>
          </cell>
        </row>
        <row r="278">
          <cell r="A278" t="str">
            <v>FULLER</v>
          </cell>
        </row>
        <row r="279">
          <cell r="A279" t="str">
            <v>FULLER115</v>
          </cell>
        </row>
        <row r="280">
          <cell r="A280" t="str">
            <v>FVAL</v>
          </cell>
        </row>
        <row r="281">
          <cell r="A281" t="str">
            <v>FWNP</v>
          </cell>
        </row>
        <row r="282">
          <cell r="A282" t="str">
            <v>GALLEGOS115</v>
          </cell>
        </row>
        <row r="283">
          <cell r="A283" t="str">
            <v>GALLUP1</v>
          </cell>
        </row>
        <row r="284">
          <cell r="A284" t="str">
            <v>GAR230NWMT</v>
          </cell>
        </row>
        <row r="285">
          <cell r="A285" t="str">
            <v>Garrison</v>
          </cell>
        </row>
        <row r="286">
          <cell r="A286" t="str">
            <v>GAVILANPK230</v>
          </cell>
        </row>
        <row r="287">
          <cell r="A287" t="str">
            <v>GCPD</v>
          </cell>
        </row>
        <row r="288">
          <cell r="A288" t="str">
            <v>GCPD.RoadM</v>
          </cell>
        </row>
        <row r="289">
          <cell r="A289" t="str">
            <v>GCPHA</v>
          </cell>
        </row>
        <row r="290">
          <cell r="A290" t="str">
            <v>GENE</v>
          </cell>
        </row>
        <row r="291">
          <cell r="A291" t="str">
            <v>GHPUD</v>
          </cell>
        </row>
        <row r="292">
          <cell r="A292" t="str">
            <v>GILA161</v>
          </cell>
        </row>
        <row r="293">
          <cell r="A293" t="str">
            <v>GILA230</v>
          </cell>
        </row>
        <row r="294">
          <cell r="A294" t="str">
            <v>GILA69</v>
          </cell>
        </row>
        <row r="295">
          <cell r="A295" t="str">
            <v>GILABEND230</v>
          </cell>
        </row>
        <row r="296">
          <cell r="A296" t="str">
            <v>GILARIVER500</v>
          </cell>
        </row>
        <row r="297">
          <cell r="A297" t="str">
            <v>GJCT</v>
          </cell>
        </row>
        <row r="298">
          <cell r="A298" t="str">
            <v>GLAD</v>
          </cell>
        </row>
        <row r="299">
          <cell r="A299" t="str">
            <v>GLAD115</v>
          </cell>
        </row>
        <row r="300">
          <cell r="A300" t="str">
            <v>GLADE115</v>
          </cell>
        </row>
        <row r="301">
          <cell r="A301" t="str">
            <v>GLENCANYON1</v>
          </cell>
        </row>
        <row r="302">
          <cell r="A302" t="str">
            <v>GLENCANYON2</v>
          </cell>
        </row>
        <row r="303">
          <cell r="A303" t="str">
            <v>GLENCANYON3</v>
          </cell>
        </row>
        <row r="304">
          <cell r="A304" t="str">
            <v>GLENCANYON69</v>
          </cell>
        </row>
        <row r="305">
          <cell r="A305" t="str">
            <v>GLWND1</v>
          </cell>
        </row>
        <row r="306">
          <cell r="A306" t="str">
            <v>GLWND2</v>
          </cell>
        </row>
        <row r="307">
          <cell r="A307" t="str">
            <v>GMS.MCA.REV</v>
          </cell>
        </row>
        <row r="308">
          <cell r="A308" t="str">
            <v>GoldendalCPN</v>
          </cell>
        </row>
        <row r="309">
          <cell r="A309" t="str">
            <v>Goldendale</v>
          </cell>
        </row>
        <row r="310">
          <cell r="A310" t="str">
            <v>GoldendaleAC</v>
          </cell>
        </row>
        <row r="311">
          <cell r="A311" t="str">
            <v>GON.IPP</v>
          </cell>
        </row>
        <row r="312">
          <cell r="A312" t="str">
            <v>GON.PAV</v>
          </cell>
        </row>
        <row r="313">
          <cell r="A313" t="str">
            <v>GOODNOEH1LD</v>
          </cell>
        </row>
        <row r="314">
          <cell r="A314" t="str">
            <v>GOODNOEHILL1</v>
          </cell>
        </row>
        <row r="315">
          <cell r="A315" t="str">
            <v>GOULD1</v>
          </cell>
        </row>
        <row r="316">
          <cell r="A316" t="str">
            <v>GOULD2</v>
          </cell>
        </row>
        <row r="317">
          <cell r="A317" t="str">
            <v>GPTOLEDO</v>
          </cell>
        </row>
        <row r="318">
          <cell r="A318" t="str">
            <v>GRANT.AVA</v>
          </cell>
        </row>
        <row r="319">
          <cell r="A319" t="str">
            <v>GREATFALLS</v>
          </cell>
        </row>
        <row r="320">
          <cell r="A320" t="str">
            <v>GREENLEE345</v>
          </cell>
        </row>
        <row r="321">
          <cell r="A321" t="str">
            <v>GRENLESWT345</v>
          </cell>
        </row>
        <row r="322">
          <cell r="A322" t="str">
            <v>Gresham</v>
          </cell>
        </row>
        <row r="323">
          <cell r="A323" t="str">
            <v>GRIFFITH230</v>
          </cell>
        </row>
        <row r="324">
          <cell r="A324" t="str">
            <v>GRIFFITH69</v>
          </cell>
        </row>
        <row r="325">
          <cell r="A325" t="str">
            <v>Grizzly</v>
          </cell>
        </row>
        <row r="326">
          <cell r="A326" t="str">
            <v>GSHN</v>
          </cell>
        </row>
        <row r="327">
          <cell r="A327" t="str">
            <v>GTFALLSNWMT</v>
          </cell>
        </row>
        <row r="328">
          <cell r="A328" t="str">
            <v>GUADALUPE345</v>
          </cell>
        </row>
        <row r="329">
          <cell r="A329" t="str">
            <v>H500</v>
          </cell>
        </row>
        <row r="330">
          <cell r="A330" t="str">
            <v>HA230</v>
          </cell>
        </row>
        <row r="331">
          <cell r="A331" t="str">
            <v>HA345</v>
          </cell>
        </row>
        <row r="332">
          <cell r="A332" t="str">
            <v>HA500</v>
          </cell>
        </row>
        <row r="333">
          <cell r="A333" t="str">
            <v>HACKBERRY230</v>
          </cell>
        </row>
        <row r="334">
          <cell r="A334" t="str">
            <v>HAIWEE</v>
          </cell>
        </row>
        <row r="335">
          <cell r="A335" t="str">
            <v>HARDIN</v>
          </cell>
        </row>
        <row r="336">
          <cell r="A336" t="str">
            <v>Harney</v>
          </cell>
        </row>
        <row r="337">
          <cell r="A337" t="str">
            <v>HarvestWind</v>
          </cell>
        </row>
        <row r="338">
          <cell r="A338" t="str">
            <v>HayCanyon</v>
          </cell>
        </row>
        <row r="339">
          <cell r="A339" t="str">
            <v>HayCanyonLD</v>
          </cell>
        </row>
        <row r="340">
          <cell r="A340" t="str">
            <v>HAYDEN115</v>
          </cell>
        </row>
        <row r="341">
          <cell r="A341" t="str">
            <v>HBRSOUTH</v>
          </cell>
        </row>
        <row r="342">
          <cell r="A342" t="str">
            <v>HCPR</v>
          </cell>
        </row>
        <row r="343">
          <cell r="A343" t="str">
            <v>HDN</v>
          </cell>
        </row>
        <row r="344">
          <cell r="A344" t="str">
            <v>HEADGATEROCK</v>
          </cell>
        </row>
        <row r="345">
          <cell r="A345" t="str">
            <v>HEBER69</v>
          </cell>
        </row>
        <row r="346">
          <cell r="A346" t="str">
            <v>HEBERSOUTH1</v>
          </cell>
        </row>
        <row r="347">
          <cell r="A347" t="str">
            <v>Heppner</v>
          </cell>
        </row>
        <row r="348">
          <cell r="A348" t="str">
            <v>HermistCPNLD</v>
          </cell>
        </row>
        <row r="349">
          <cell r="A349" t="str">
            <v>HermistonCPN</v>
          </cell>
        </row>
        <row r="350">
          <cell r="A350" t="str">
            <v>HermistonGen</v>
          </cell>
        </row>
        <row r="351">
          <cell r="A351" t="str">
            <v>HERN</v>
          </cell>
        </row>
        <row r="352">
          <cell r="A352" t="str">
            <v>HERN6</v>
          </cell>
        </row>
        <row r="353">
          <cell r="A353" t="str">
            <v>HGC</v>
          </cell>
        </row>
        <row r="354">
          <cell r="A354" t="str">
            <v>HGMA</v>
          </cell>
        </row>
        <row r="355">
          <cell r="A355" t="str">
            <v>HIDALGO115</v>
          </cell>
        </row>
        <row r="356">
          <cell r="A356" t="str">
            <v>HIDALGO345</v>
          </cell>
        </row>
        <row r="357">
          <cell r="A357" t="str">
            <v>HIGHLINE230</v>
          </cell>
        </row>
        <row r="358">
          <cell r="A358" t="str">
            <v>HILLTOP230</v>
          </cell>
        </row>
        <row r="359">
          <cell r="A359" t="str">
            <v>Hilltop345</v>
          </cell>
        </row>
        <row r="360">
          <cell r="A360" t="str">
            <v>HJ</v>
          </cell>
        </row>
        <row r="361">
          <cell r="A361" t="str">
            <v>HMWY</v>
          </cell>
        </row>
        <row r="362">
          <cell r="A362" t="str">
            <v>HNLK</v>
          </cell>
        </row>
        <row r="363">
          <cell r="A363" t="str">
            <v>HOGBACK</v>
          </cell>
        </row>
        <row r="364">
          <cell r="A364" t="str">
            <v>HOLLOMAN115</v>
          </cell>
        </row>
        <row r="365">
          <cell r="A365" t="str">
            <v>HOLLYWOOD115</v>
          </cell>
        </row>
        <row r="366">
          <cell r="A366" t="str">
            <v>HoodRiver</v>
          </cell>
        </row>
        <row r="367">
          <cell r="A367" t="str">
            <v>HOOVER230</v>
          </cell>
        </row>
        <row r="368">
          <cell r="A368" t="str">
            <v>Hopkins</v>
          </cell>
        </row>
        <row r="369">
          <cell r="A369" t="str">
            <v>HopkinsRidge</v>
          </cell>
        </row>
        <row r="370">
          <cell r="A370" t="str">
            <v>HrmistnCPNBS</v>
          </cell>
        </row>
        <row r="371">
          <cell r="A371" t="str">
            <v>HSP</v>
          </cell>
        </row>
        <row r="372">
          <cell r="A372" t="str">
            <v>HTSP</v>
          </cell>
        </row>
        <row r="373">
          <cell r="A373" t="str">
            <v>HTSP.AVA</v>
          </cell>
        </row>
        <row r="374">
          <cell r="A374" t="str">
            <v>HTSPNWMT</v>
          </cell>
        </row>
        <row r="375">
          <cell r="A375" t="str">
            <v>HUNTER</v>
          </cell>
        </row>
        <row r="376">
          <cell r="A376" t="str">
            <v>HUR230</v>
          </cell>
        </row>
        <row r="377">
          <cell r="A377" t="str">
            <v>HURR</v>
          </cell>
        </row>
        <row r="378">
          <cell r="A378" t="str">
            <v>IDNW</v>
          </cell>
        </row>
        <row r="379">
          <cell r="A379" t="str">
            <v>INEL</v>
          </cell>
        </row>
        <row r="380">
          <cell r="A380" t="str">
            <v>INT</v>
          </cell>
        </row>
        <row r="381">
          <cell r="A381" t="str">
            <v>INTEL449</v>
          </cell>
        </row>
        <row r="382">
          <cell r="A382" t="str">
            <v>INYO</v>
          </cell>
        </row>
        <row r="383">
          <cell r="A383" t="str">
            <v>IPCO</v>
          </cell>
        </row>
        <row r="384">
          <cell r="A384" t="str">
            <v>IPCOEAST</v>
          </cell>
        </row>
        <row r="385">
          <cell r="A385" t="str">
            <v>IPCOGEN</v>
          </cell>
        </row>
        <row r="386">
          <cell r="A386" t="str">
            <v>IPCOLOSS</v>
          </cell>
        </row>
        <row r="387">
          <cell r="A387" t="str">
            <v>IPCOSID</v>
          </cell>
        </row>
        <row r="388">
          <cell r="A388" t="str">
            <v>IPP</v>
          </cell>
        </row>
        <row r="389">
          <cell r="A389" t="str">
            <v>IPPgen</v>
          </cell>
        </row>
        <row r="390">
          <cell r="A390" t="str">
            <v>IPPUTAH</v>
          </cell>
        </row>
        <row r="391">
          <cell r="A391" t="str">
            <v>IRVINGTON138</v>
          </cell>
        </row>
        <row r="392">
          <cell r="A392" t="str">
            <v>IV230KV</v>
          </cell>
        </row>
        <row r="393">
          <cell r="A393" t="str">
            <v>IVGEO</v>
          </cell>
        </row>
        <row r="394">
          <cell r="A394" t="str">
            <v>IVGOULD</v>
          </cell>
        </row>
        <row r="395">
          <cell r="A395" t="str">
            <v>IVLY2</v>
          </cell>
        </row>
        <row r="396">
          <cell r="A396" t="str">
            <v>IVLY5</v>
          </cell>
        </row>
        <row r="397">
          <cell r="A397" t="str">
            <v>IVRR</v>
          </cell>
        </row>
        <row r="398">
          <cell r="A398" t="str">
            <v>IVSS5</v>
          </cell>
        </row>
        <row r="399">
          <cell r="A399" t="str">
            <v>IVTURBO</v>
          </cell>
        </row>
        <row r="400">
          <cell r="A400" t="str">
            <v>JBSN</v>
          </cell>
        </row>
        <row r="401">
          <cell r="A401" t="str">
            <v>JBWT</v>
          </cell>
        </row>
        <row r="402">
          <cell r="A402" t="str">
            <v>JEFF</v>
          </cell>
        </row>
        <row r="403">
          <cell r="A403" t="str">
            <v>JnprCnyn</v>
          </cell>
        </row>
        <row r="404">
          <cell r="A404" t="str">
            <v>JohnDay</v>
          </cell>
        </row>
        <row r="405">
          <cell r="A405" t="str">
            <v>JohnDayBR</v>
          </cell>
        </row>
        <row r="406">
          <cell r="A406" t="str">
            <v>JOJOBA500</v>
          </cell>
        </row>
        <row r="407">
          <cell r="A407" t="str">
            <v>JUAN</v>
          </cell>
        </row>
        <row r="408">
          <cell r="A408" t="str">
            <v>JUAREZ</v>
          </cell>
        </row>
        <row r="409">
          <cell r="A409" t="str">
            <v>Juniper2LD</v>
          </cell>
        </row>
        <row r="410">
          <cell r="A410" t="str">
            <v>JuniperWind</v>
          </cell>
        </row>
        <row r="411">
          <cell r="A411" t="str">
            <v>JuniperWinLD</v>
          </cell>
        </row>
        <row r="412">
          <cell r="A412" t="str">
            <v>KaiserBell</v>
          </cell>
        </row>
        <row r="413">
          <cell r="A413" t="str">
            <v>KaiserTac</v>
          </cell>
        </row>
        <row r="414">
          <cell r="A414" t="str">
            <v>KaiserTrent</v>
          </cell>
        </row>
        <row r="415">
          <cell r="A415" t="str">
            <v>KASIERBELL</v>
          </cell>
        </row>
        <row r="416">
          <cell r="A416" t="str">
            <v>KASIERTAC</v>
          </cell>
        </row>
        <row r="417">
          <cell r="A417" t="str">
            <v>KASIERTRENT</v>
          </cell>
        </row>
        <row r="418">
          <cell r="A418" t="str">
            <v>KAY-LHV</v>
          </cell>
        </row>
        <row r="419">
          <cell r="A419" t="str">
            <v>KEEN</v>
          </cell>
        </row>
        <row r="420">
          <cell r="A420" t="str">
            <v>KES230</v>
          </cell>
        </row>
        <row r="421">
          <cell r="A421" t="str">
            <v>KFallsGen</v>
          </cell>
        </row>
        <row r="422">
          <cell r="A422" t="str">
            <v>KFallsGenBR</v>
          </cell>
        </row>
        <row r="423">
          <cell r="A423" t="str">
            <v>KI</v>
          </cell>
        </row>
        <row r="424">
          <cell r="A424" t="str">
            <v>KITTITAS</v>
          </cell>
        </row>
        <row r="425">
          <cell r="A425" t="str">
            <v>KITTVAL</v>
          </cell>
        </row>
        <row r="426">
          <cell r="A426" t="str">
            <v>Klickitat</v>
          </cell>
        </row>
        <row r="427">
          <cell r="A427" t="str">
            <v>Klondike2SH</v>
          </cell>
        </row>
        <row r="428">
          <cell r="A428" t="str">
            <v>Klondike3SH</v>
          </cell>
        </row>
        <row r="429">
          <cell r="A429" t="str">
            <v>KlondikeSH</v>
          </cell>
        </row>
        <row r="430">
          <cell r="A430" t="str">
            <v>Klondke3aBPA</v>
          </cell>
        </row>
        <row r="431">
          <cell r="A431" t="str">
            <v>KNOB161</v>
          </cell>
        </row>
        <row r="432">
          <cell r="A432" t="str">
            <v>KNOX230</v>
          </cell>
        </row>
        <row r="433">
          <cell r="A433" t="str">
            <v>KPRT</v>
          </cell>
        </row>
        <row r="434">
          <cell r="A434" t="str">
            <v>KUTZ115</v>
          </cell>
        </row>
        <row r="435">
          <cell r="A435" t="str">
            <v>KYRENE230</v>
          </cell>
        </row>
        <row r="436">
          <cell r="A436" t="str">
            <v>KYRENE500</v>
          </cell>
        </row>
        <row r="437">
          <cell r="A437" t="str">
            <v>LAGBELLVELO</v>
          </cell>
        </row>
        <row r="438">
          <cell r="A438" t="str">
            <v>LaGrande</v>
          </cell>
        </row>
        <row r="439">
          <cell r="A439" t="str">
            <v>LAJU</v>
          </cell>
        </row>
        <row r="440">
          <cell r="A440" t="str">
            <v>Lake</v>
          </cell>
        </row>
        <row r="441">
          <cell r="A441" t="str">
            <v>LAMR</v>
          </cell>
        </row>
        <row r="442">
          <cell r="A442" t="str">
            <v>LAMR115</v>
          </cell>
        </row>
        <row r="443">
          <cell r="A443" t="str">
            <v>LAMR230</v>
          </cell>
        </row>
        <row r="444">
          <cell r="A444" t="str">
            <v>LAMR345</v>
          </cell>
        </row>
        <row r="445">
          <cell r="A445" t="str">
            <v>LAMS</v>
          </cell>
        </row>
        <row r="446">
          <cell r="A446" t="str">
            <v>LANCASTER</v>
          </cell>
        </row>
        <row r="447">
          <cell r="A447" t="str">
            <v>LancasterLD</v>
          </cell>
        </row>
        <row r="448">
          <cell r="A448" t="str">
            <v>LaPine230</v>
          </cell>
        </row>
        <row r="449">
          <cell r="A449" t="str">
            <v>LAPTNITS</v>
          </cell>
        </row>
        <row r="450">
          <cell r="A450" t="str">
            <v>LASANIMAS</v>
          </cell>
        </row>
        <row r="451">
          <cell r="A451" t="str">
            <v>LASCRCS115</v>
          </cell>
        </row>
        <row r="452">
          <cell r="A452" t="str">
            <v>LASYSTEM</v>
          </cell>
        </row>
        <row r="453">
          <cell r="A453" t="str">
            <v>LAUGHLINSYS</v>
          </cell>
        </row>
        <row r="454">
          <cell r="A454" t="str">
            <v>LCPDSYS</v>
          </cell>
        </row>
        <row r="455">
          <cell r="A455" t="str">
            <v>LeanJnpr2</v>
          </cell>
        </row>
        <row r="456">
          <cell r="A456" t="str">
            <v>LEATH</v>
          </cell>
        </row>
        <row r="457">
          <cell r="A457" t="str">
            <v>LewisPUD</v>
          </cell>
        </row>
        <row r="458">
          <cell r="A458" t="str">
            <v>LFG-Gen</v>
          </cell>
        </row>
        <row r="459">
          <cell r="A459" t="str">
            <v>LIBERTY230</v>
          </cell>
        </row>
        <row r="460">
          <cell r="A460" t="str">
            <v>LIMO</v>
          </cell>
        </row>
        <row r="461">
          <cell r="A461" t="str">
            <v>LINC</v>
          </cell>
        </row>
        <row r="462">
          <cell r="A462" t="str">
            <v>LINDEN69</v>
          </cell>
        </row>
        <row r="463">
          <cell r="A463" t="str">
            <v>LindenWind</v>
          </cell>
        </row>
        <row r="464">
          <cell r="A464" t="str">
            <v>LJAR115</v>
          </cell>
        </row>
        <row r="465">
          <cell r="A465" t="str">
            <v>LJAR69</v>
          </cell>
        </row>
        <row r="466">
          <cell r="A466" t="str">
            <v>LLL115</v>
          </cell>
        </row>
        <row r="467">
          <cell r="A467" t="str">
            <v>LOCAL.GEN</v>
          </cell>
        </row>
        <row r="468">
          <cell r="A468" t="str">
            <v>LOGAN</v>
          </cell>
        </row>
        <row r="469">
          <cell r="A469" t="str">
            <v>LOLO</v>
          </cell>
        </row>
        <row r="470">
          <cell r="A470" t="str">
            <v>LONEBUTTE230</v>
          </cell>
        </row>
        <row r="471">
          <cell r="A471" t="str">
            <v>LongviewAlum</v>
          </cell>
        </row>
        <row r="472">
          <cell r="A472" t="str">
            <v>LongviewFbr</v>
          </cell>
        </row>
        <row r="473">
          <cell r="A473" t="str">
            <v>LORDSBURG115</v>
          </cell>
        </row>
        <row r="474">
          <cell r="A474" t="str">
            <v>LOSBANOS230</v>
          </cell>
        </row>
        <row r="475">
          <cell r="A475" t="str">
            <v>LRS</v>
          </cell>
        </row>
        <row r="476">
          <cell r="A476" t="str">
            <v>LRS230</v>
          </cell>
        </row>
        <row r="477">
          <cell r="A477" t="str">
            <v>LRS345</v>
          </cell>
        </row>
        <row r="478">
          <cell r="A478" t="str">
            <v>LRS69</v>
          </cell>
        </row>
        <row r="479">
          <cell r="A479" t="str">
            <v>LSRwind1</v>
          </cell>
        </row>
        <row r="480">
          <cell r="A480" t="str">
            <v>LUGO</v>
          </cell>
        </row>
        <row r="481">
          <cell r="A481" t="str">
            <v>LUNA115</v>
          </cell>
        </row>
        <row r="482">
          <cell r="A482" t="str">
            <v>LUNA345</v>
          </cell>
        </row>
        <row r="483">
          <cell r="A483" t="str">
            <v>LYPK</v>
          </cell>
        </row>
        <row r="484">
          <cell r="A484" t="str">
            <v>M345</v>
          </cell>
        </row>
        <row r="485">
          <cell r="A485" t="str">
            <v>M500</v>
          </cell>
        </row>
        <row r="486">
          <cell r="A486" t="str">
            <v>MACHOSPRG345</v>
          </cell>
        </row>
        <row r="487">
          <cell r="A487" t="str">
            <v>Malin230</v>
          </cell>
        </row>
        <row r="488">
          <cell r="A488" t="str">
            <v>MALIN500</v>
          </cell>
        </row>
        <row r="489">
          <cell r="A489" t="str">
            <v>MALTA</v>
          </cell>
        </row>
        <row r="490">
          <cell r="A490" t="str">
            <v>MARANA115</v>
          </cell>
        </row>
        <row r="491">
          <cell r="A491" t="str">
            <v>MARBLE60</v>
          </cell>
        </row>
        <row r="492">
          <cell r="A492" t="str">
            <v>MARCHPT_GEN</v>
          </cell>
        </row>
        <row r="493">
          <cell r="A493" t="str">
            <v>MARKETPLACE</v>
          </cell>
        </row>
        <row r="494">
          <cell r="A494" t="str">
            <v>MasonPUD1</v>
          </cell>
        </row>
        <row r="495">
          <cell r="A495" t="str">
            <v>MasonPUD3</v>
          </cell>
        </row>
        <row r="496">
          <cell r="A496" t="str">
            <v>MATL.NWMT</v>
          </cell>
        </row>
        <row r="497">
          <cell r="A497" t="str">
            <v>MCCALL</v>
          </cell>
        </row>
        <row r="498">
          <cell r="A498" t="str">
            <v>MCCONNICO230</v>
          </cell>
        </row>
        <row r="499">
          <cell r="A499" t="str">
            <v>MCCULLOUG230</v>
          </cell>
        </row>
        <row r="500">
          <cell r="A500" t="str">
            <v>MCCULLOUG500</v>
          </cell>
        </row>
        <row r="501">
          <cell r="A501" t="str">
            <v>MCKINLEY345</v>
          </cell>
        </row>
        <row r="502">
          <cell r="A502" t="str">
            <v>McMinnville</v>
          </cell>
        </row>
        <row r="503">
          <cell r="A503" t="str">
            <v>MCNARY</v>
          </cell>
        </row>
        <row r="504">
          <cell r="A504" t="str">
            <v>MCNRYFSHWY</v>
          </cell>
        </row>
        <row r="505">
          <cell r="A505" t="str">
            <v>MCNRYFWKCP</v>
          </cell>
        </row>
        <row r="506">
          <cell r="A506" t="str">
            <v>MD#1-115</v>
          </cell>
        </row>
        <row r="507">
          <cell r="A507" t="str">
            <v>MD1</v>
          </cell>
        </row>
        <row r="508">
          <cell r="A508" t="str">
            <v>MD115</v>
          </cell>
        </row>
        <row r="509">
          <cell r="A509" t="str">
            <v>MDGT</v>
          </cell>
        </row>
        <row r="510">
          <cell r="A510" t="str">
            <v>MDSK</v>
          </cell>
        </row>
        <row r="511">
          <cell r="A511" t="str">
            <v>MDWP</v>
          </cell>
        </row>
        <row r="512">
          <cell r="A512" t="str">
            <v>MEAD 230</v>
          </cell>
        </row>
        <row r="513">
          <cell r="A513" t="str">
            <v>MEAD 500</v>
          </cell>
        </row>
        <row r="514">
          <cell r="A514" t="str">
            <v>MEAD230</v>
          </cell>
        </row>
        <row r="515">
          <cell r="A515" t="str">
            <v>MEAD500</v>
          </cell>
        </row>
        <row r="516">
          <cell r="A516" t="str">
            <v>MERCHANT230</v>
          </cell>
        </row>
        <row r="517">
          <cell r="A517" t="str">
            <v>MESQUITE230</v>
          </cell>
        </row>
        <row r="518">
          <cell r="A518" t="str">
            <v>MID.SYSTEM</v>
          </cell>
        </row>
        <row r="519">
          <cell r="A519" t="str">
            <v>MIDC</v>
          </cell>
        </row>
        <row r="520">
          <cell r="A520" t="str">
            <v>MIDCRemote</v>
          </cell>
        </row>
        <row r="521">
          <cell r="A521" t="str">
            <v>MIDW</v>
          </cell>
        </row>
        <row r="522">
          <cell r="A522" t="str">
            <v>MIDWAY</v>
          </cell>
        </row>
        <row r="523">
          <cell r="A523" t="str">
            <v>Midway230</v>
          </cell>
        </row>
        <row r="524">
          <cell r="A524" t="str">
            <v>MIMBRES115</v>
          </cell>
        </row>
        <row r="525">
          <cell r="A525" t="str">
            <v>MintFarm</v>
          </cell>
        </row>
        <row r="526">
          <cell r="A526" t="str">
            <v>MINTFARMGEN</v>
          </cell>
        </row>
        <row r="527">
          <cell r="A527" t="str">
            <v>MintFarmLD</v>
          </cell>
        </row>
        <row r="528">
          <cell r="A528" t="str">
            <v>MIR2</v>
          </cell>
        </row>
        <row r="529">
          <cell r="A529" t="str">
            <v>MIR9</v>
          </cell>
        </row>
        <row r="530">
          <cell r="A530" t="str">
            <v>MissionVly</v>
          </cell>
        </row>
        <row r="531">
          <cell r="A531" t="str">
            <v>MLCK</v>
          </cell>
        </row>
        <row r="532">
          <cell r="A532" t="str">
            <v>MM115</v>
          </cell>
        </row>
        <row r="533">
          <cell r="A533" t="str">
            <v>MNDK</v>
          </cell>
        </row>
        <row r="534">
          <cell r="A534" t="str">
            <v>MNHM</v>
          </cell>
        </row>
        <row r="535">
          <cell r="A535" t="str">
            <v>MOENKOPI500</v>
          </cell>
        </row>
        <row r="536">
          <cell r="A536" t="str">
            <v>MOHAVE</v>
          </cell>
        </row>
        <row r="537">
          <cell r="A537" t="str">
            <v>MOHAVE500</v>
          </cell>
        </row>
        <row r="538">
          <cell r="A538" t="str">
            <v>MONA</v>
          </cell>
        </row>
        <row r="539">
          <cell r="A539" t="str">
            <v>MONU</v>
          </cell>
        </row>
        <row r="540">
          <cell r="A540" t="str">
            <v>MORENCI230</v>
          </cell>
        </row>
        <row r="541">
          <cell r="A541" t="str">
            <v>MORGAN500</v>
          </cell>
        </row>
        <row r="542">
          <cell r="A542" t="str">
            <v>MORRIS115</v>
          </cell>
        </row>
        <row r="543">
          <cell r="A543" t="str">
            <v>MorrowPower</v>
          </cell>
        </row>
        <row r="544">
          <cell r="A544" t="str">
            <v>MPAC</v>
          </cell>
        </row>
        <row r="545">
          <cell r="A545" t="str">
            <v>MPP</v>
          </cell>
        </row>
        <row r="546">
          <cell r="A546" t="str">
            <v>MPSN</v>
          </cell>
        </row>
        <row r="547">
          <cell r="A547" t="str">
            <v>MSQUIT230</v>
          </cell>
        </row>
        <row r="548">
          <cell r="A548" t="str">
            <v>MTR</v>
          </cell>
        </row>
        <row r="549">
          <cell r="A549" t="str">
            <v>NAT230</v>
          </cell>
        </row>
        <row r="550">
          <cell r="A550" t="str">
            <v>NAVAJO230</v>
          </cell>
        </row>
        <row r="551">
          <cell r="A551" t="str">
            <v>NAVAJO500</v>
          </cell>
        </row>
        <row r="552">
          <cell r="A552" t="str">
            <v>NEA</v>
          </cell>
        </row>
        <row r="553">
          <cell r="A553" t="str">
            <v>NEC_SPV</v>
          </cell>
        </row>
        <row r="554">
          <cell r="A554" t="str">
            <v>NECOG</v>
          </cell>
        </row>
        <row r="555">
          <cell r="A555" t="str">
            <v>NEEDLESSYS</v>
          </cell>
        </row>
        <row r="556">
          <cell r="A556" t="str">
            <v>NEVPSYS</v>
          </cell>
        </row>
        <row r="557">
          <cell r="A557" t="str">
            <v>NEWPOINT</v>
          </cell>
        </row>
        <row r="558">
          <cell r="A558" t="str">
            <v>NFOR</v>
          </cell>
        </row>
        <row r="559">
          <cell r="A559" t="str">
            <v>NHAVASU230</v>
          </cell>
        </row>
        <row r="560">
          <cell r="A560" t="str">
            <v>NineCanyonW</v>
          </cell>
        </row>
        <row r="561">
          <cell r="A561" t="str">
            <v>NLEW</v>
          </cell>
        </row>
        <row r="562">
          <cell r="A562" t="str">
            <v>NML230</v>
          </cell>
        </row>
        <row r="563">
          <cell r="A563" t="str">
            <v>NOB</v>
          </cell>
        </row>
        <row r="564">
          <cell r="A564" t="str">
            <v>NOGALES115</v>
          </cell>
        </row>
        <row r="565">
          <cell r="A565" t="str">
            <v>NoName</v>
          </cell>
        </row>
        <row r="566">
          <cell r="A566" t="str">
            <v>North</v>
          </cell>
        </row>
        <row r="567">
          <cell r="A567" t="str">
            <v>NorthWasco</v>
          </cell>
        </row>
        <row r="568">
          <cell r="A568" t="str">
            <v>NORTHWEST</v>
          </cell>
        </row>
        <row r="569">
          <cell r="A569" t="str">
            <v>NORTON115</v>
          </cell>
        </row>
        <row r="570">
          <cell r="A570" t="str">
            <v>NOXON</v>
          </cell>
        </row>
        <row r="571">
          <cell r="A571" t="str">
            <v>NP15</v>
          </cell>
        </row>
        <row r="572">
          <cell r="A572" t="str">
            <v>NPSS</v>
          </cell>
        </row>
        <row r="573">
          <cell r="A573" t="str">
            <v>NRTHGILA500</v>
          </cell>
        </row>
        <row r="574">
          <cell r="A574" t="str">
            <v>NRTHGILA69</v>
          </cell>
        </row>
        <row r="575">
          <cell r="A575" t="str">
            <v>NUT</v>
          </cell>
        </row>
        <row r="576">
          <cell r="A576" t="str">
            <v>NWAluminum</v>
          </cell>
        </row>
        <row r="577">
          <cell r="A577" t="str">
            <v>NWH</v>
          </cell>
        </row>
        <row r="578">
          <cell r="A578" t="str">
            <v>NW-MT</v>
          </cell>
        </row>
        <row r="579">
          <cell r="A579" t="str">
            <v>NWMT.System</v>
          </cell>
        </row>
        <row r="580">
          <cell r="A580" t="str">
            <v>NYUM</v>
          </cell>
        </row>
        <row r="581">
          <cell r="A581" t="str">
            <v>OAKDALE</v>
          </cell>
        </row>
        <row r="582">
          <cell r="A582" t="str">
            <v>OBBLPR</v>
          </cell>
        </row>
        <row r="583">
          <cell r="A583" t="str">
            <v>OBN230</v>
          </cell>
        </row>
        <row r="584">
          <cell r="A584" t="str">
            <v>OBPRNORTH</v>
          </cell>
        </row>
        <row r="585">
          <cell r="A585" t="str">
            <v>OCOTILLO69</v>
          </cell>
        </row>
        <row r="586">
          <cell r="A586" t="str">
            <v>ODA230</v>
          </cell>
        </row>
        <row r="587">
          <cell r="A587" t="str">
            <v>ODA500</v>
          </cell>
        </row>
        <row r="588">
          <cell r="A588" t="str">
            <v>OGAL</v>
          </cell>
        </row>
        <row r="589">
          <cell r="A589" t="str">
            <v>OJO345</v>
          </cell>
        </row>
        <row r="590">
          <cell r="A590" t="str">
            <v>OKAN_D.S.</v>
          </cell>
        </row>
        <row r="591">
          <cell r="A591" t="str">
            <v>Okanogan</v>
          </cell>
        </row>
        <row r="592">
          <cell r="A592" t="str">
            <v>ORACLE115</v>
          </cell>
        </row>
        <row r="593">
          <cell r="A593" t="str">
            <v>ORACLEJUN115</v>
          </cell>
        </row>
        <row r="594">
          <cell r="A594" t="str">
            <v>ORCAS</v>
          </cell>
        </row>
        <row r="595">
          <cell r="A595" t="str">
            <v>OregonTrail</v>
          </cell>
        </row>
        <row r="596">
          <cell r="A596" t="str">
            <v>OreMet</v>
          </cell>
        </row>
        <row r="597">
          <cell r="A597" t="str">
            <v>ORM1</v>
          </cell>
        </row>
        <row r="598">
          <cell r="A598" t="str">
            <v>ORM2</v>
          </cell>
        </row>
        <row r="599">
          <cell r="A599" t="str">
            <v>ORME230</v>
          </cell>
        </row>
        <row r="600">
          <cell r="A600" t="str">
            <v>OROGRANDE115</v>
          </cell>
        </row>
        <row r="601">
          <cell r="A601" t="str">
            <v>OS</v>
          </cell>
        </row>
        <row r="602">
          <cell r="A602" t="str">
            <v>OSAGE</v>
          </cell>
        </row>
        <row r="603">
          <cell r="A603" t="str">
            <v>OTEC</v>
          </cell>
        </row>
        <row r="604">
          <cell r="A604" t="str">
            <v>OTECTAP</v>
          </cell>
        </row>
        <row r="605">
          <cell r="A605" t="str">
            <v>PACE</v>
          </cell>
        </row>
        <row r="606">
          <cell r="A606" t="str">
            <v>PACEN</v>
          </cell>
        </row>
        <row r="607">
          <cell r="A607" t="str">
            <v>PACES</v>
          </cell>
        </row>
        <row r="608">
          <cell r="A608" t="str">
            <v>PacificPUD</v>
          </cell>
        </row>
        <row r="609">
          <cell r="A609" t="str">
            <v>Packwood</v>
          </cell>
        </row>
        <row r="610">
          <cell r="A610" t="str">
            <v>PACW</v>
          </cell>
        </row>
        <row r="611">
          <cell r="A611" t="str">
            <v>PACW.PGE</v>
          </cell>
        </row>
        <row r="612">
          <cell r="A612" t="str">
            <v>PACWBDRL</v>
          </cell>
        </row>
        <row r="613">
          <cell r="A613" t="str">
            <v>PALOVERDE</v>
          </cell>
        </row>
        <row r="614">
          <cell r="A614" t="str">
            <v>PALOVERDE500</v>
          </cell>
        </row>
        <row r="615">
          <cell r="A615" t="str">
            <v>PANDA230</v>
          </cell>
        </row>
        <row r="616">
          <cell r="A616" t="str">
            <v>PARKER</v>
          </cell>
        </row>
        <row r="617">
          <cell r="A617" t="str">
            <v>PARKER161</v>
          </cell>
        </row>
        <row r="618">
          <cell r="A618" t="str">
            <v>PARKER230</v>
          </cell>
        </row>
        <row r="619">
          <cell r="A619" t="str">
            <v>PATH48GW</v>
          </cell>
        </row>
        <row r="620">
          <cell r="A620" t="str">
            <v>PATHC</v>
          </cell>
        </row>
        <row r="621">
          <cell r="A621" t="str">
            <v>PaTu</v>
          </cell>
        </row>
        <row r="622">
          <cell r="A622" t="str">
            <v>Pavant</v>
          </cell>
        </row>
        <row r="623">
          <cell r="A623" t="str">
            <v>PAWN</v>
          </cell>
        </row>
        <row r="624">
          <cell r="A624" t="str">
            <v>PAWNGEN</v>
          </cell>
        </row>
        <row r="625">
          <cell r="A625" t="str">
            <v>PEACOCK230</v>
          </cell>
        </row>
        <row r="626">
          <cell r="A626" t="str">
            <v>PebbleSprgLD</v>
          </cell>
        </row>
        <row r="627">
          <cell r="A627" t="str">
            <v>PebbleSprngs</v>
          </cell>
        </row>
        <row r="628">
          <cell r="A628" t="str">
            <v>PEGS</v>
          </cell>
        </row>
        <row r="629">
          <cell r="A629" t="str">
            <v>PendletonPac</v>
          </cell>
        </row>
        <row r="630">
          <cell r="A630" t="str">
            <v>PGAE.SYSTEM</v>
          </cell>
        </row>
        <row r="631">
          <cell r="A631" t="str">
            <v>PGE</v>
          </cell>
        </row>
        <row r="632">
          <cell r="A632" t="str">
            <v>PGE.BEAVER</v>
          </cell>
        </row>
        <row r="633">
          <cell r="A633" t="str">
            <v>PGE.COLSTRIP</v>
          </cell>
        </row>
        <row r="634">
          <cell r="A634" t="str">
            <v>PGE.COYSPR1</v>
          </cell>
        </row>
        <row r="635">
          <cell r="A635" t="str">
            <v>PGE.INTERNAL</v>
          </cell>
        </row>
        <row r="636">
          <cell r="A636" t="str">
            <v>PGE.MIDC</v>
          </cell>
        </row>
        <row r="637">
          <cell r="A637" t="str">
            <v>PGE.SLATT</v>
          </cell>
        </row>
        <row r="638">
          <cell r="A638" t="str">
            <v>PGE.TROJAN</v>
          </cell>
        </row>
        <row r="639">
          <cell r="A639" t="str">
            <v>PHDO</v>
          </cell>
        </row>
        <row r="640">
          <cell r="A640" t="str">
            <v>PHOENIX230</v>
          </cell>
        </row>
        <row r="641">
          <cell r="A641" t="str">
            <v>PICACHO115</v>
          </cell>
        </row>
        <row r="642">
          <cell r="A642" t="str">
            <v>PilotBute230</v>
          </cell>
        </row>
        <row r="643">
          <cell r="A643" t="str">
            <v>PILOTKNOB161</v>
          </cell>
        </row>
        <row r="644">
          <cell r="A644" t="str">
            <v>PINALWEST345</v>
          </cell>
        </row>
        <row r="645">
          <cell r="A645" t="str">
            <v>PINALWEST500</v>
          </cell>
        </row>
        <row r="646">
          <cell r="A646" t="str">
            <v>PINESTREET</v>
          </cell>
        </row>
        <row r="647">
          <cell r="A647" t="str">
            <v>PINPKAPS230</v>
          </cell>
        </row>
        <row r="648">
          <cell r="A648" t="str">
            <v>PINPKSRP230</v>
          </cell>
        </row>
        <row r="649">
          <cell r="A649" t="str">
            <v>PINTO</v>
          </cell>
        </row>
        <row r="650">
          <cell r="A650" t="str">
            <v>PLAY115</v>
          </cell>
        </row>
        <row r="651">
          <cell r="A651" t="str">
            <v>PLAY69</v>
          </cell>
        </row>
        <row r="652">
          <cell r="A652" t="str">
            <v>PM2</v>
          </cell>
        </row>
        <row r="653">
          <cell r="A653" t="str">
            <v>PNGC</v>
          </cell>
        </row>
        <row r="654">
          <cell r="A654" t="str">
            <v>PNPKWALC230</v>
          </cell>
        </row>
        <row r="655">
          <cell r="A655" t="str">
            <v>PON</v>
          </cell>
        </row>
        <row r="656">
          <cell r="A656" t="str">
            <v>PONC</v>
          </cell>
        </row>
        <row r="657">
          <cell r="A657" t="str">
            <v>Ponderosa230</v>
          </cell>
        </row>
        <row r="658">
          <cell r="A658" t="str">
            <v>Ponderosa500</v>
          </cell>
        </row>
        <row r="659">
          <cell r="A659" t="str">
            <v>POP</v>
          </cell>
        </row>
        <row r="660">
          <cell r="A660" t="str">
            <v>POPD</v>
          </cell>
        </row>
        <row r="661">
          <cell r="A661" t="str">
            <v>PortAngeles</v>
          </cell>
        </row>
        <row r="662">
          <cell r="A662" t="str">
            <v>PORTTOWNMILL</v>
          </cell>
        </row>
        <row r="663">
          <cell r="A663" t="str">
            <v>POWELL.RIVER</v>
          </cell>
        </row>
        <row r="664">
          <cell r="A664" t="str">
            <v>PPA.LD</v>
          </cell>
        </row>
        <row r="665">
          <cell r="A665" t="str">
            <v>PPMIBR</v>
          </cell>
        </row>
        <row r="666">
          <cell r="A666" t="str">
            <v>PriestRapids</v>
          </cell>
        </row>
        <row r="667">
          <cell r="A667" t="str">
            <v>PRPLD</v>
          </cell>
        </row>
        <row r="668">
          <cell r="A668" t="str">
            <v>PSA1LG</v>
          </cell>
        </row>
        <row r="669">
          <cell r="A669" t="str">
            <v>PSCMGW</v>
          </cell>
        </row>
        <row r="670">
          <cell r="A670" t="str">
            <v>PSCO</v>
          </cell>
        </row>
        <row r="671">
          <cell r="A671" t="str">
            <v>PSCOGEN</v>
          </cell>
        </row>
        <row r="672">
          <cell r="A672" t="str">
            <v>PSCOWSTATION</v>
          </cell>
        </row>
        <row r="673">
          <cell r="A673" t="str">
            <v>PSEI.SYSTEM</v>
          </cell>
        </row>
        <row r="674">
          <cell r="A674" t="str">
            <v>PTSN</v>
          </cell>
        </row>
        <row r="675">
          <cell r="A675" t="str">
            <v>PUMPKINBUTTE</v>
          </cell>
        </row>
        <row r="676">
          <cell r="A676" t="str">
            <v>PVWEST</v>
          </cell>
        </row>
        <row r="677">
          <cell r="A677" t="str">
            <v>PYGS</v>
          </cell>
        </row>
        <row r="678">
          <cell r="A678" t="str">
            <v>QUILCENE</v>
          </cell>
        </row>
        <row r="679">
          <cell r="A679" t="str">
            <v>RACEWAY230</v>
          </cell>
        </row>
        <row r="680">
          <cell r="A680" t="str">
            <v>Rainbow</v>
          </cell>
        </row>
        <row r="681">
          <cell r="A681" t="str">
            <v>RanchoSeco</v>
          </cell>
        </row>
        <row r="682">
          <cell r="A682" t="str">
            <v>RAW</v>
          </cell>
        </row>
        <row r="683">
          <cell r="A683" t="str">
            <v>RC</v>
          </cell>
        </row>
        <row r="684">
          <cell r="A684" t="str">
            <v>RC69</v>
          </cell>
        </row>
        <row r="685">
          <cell r="A685" t="str">
            <v>RCEAST</v>
          </cell>
        </row>
        <row r="686">
          <cell r="A686" t="str">
            <v>RCWEST</v>
          </cell>
        </row>
        <row r="687">
          <cell r="A687" t="str">
            <v>RDM230</v>
          </cell>
        </row>
        <row r="688">
          <cell r="A688" t="str">
            <v>RDM500</v>
          </cell>
        </row>
        <row r="689">
          <cell r="A689" t="str">
            <v>READER</v>
          </cell>
        </row>
        <row r="690">
          <cell r="A690" t="str">
            <v>REDB</v>
          </cell>
        </row>
        <row r="691">
          <cell r="A691" t="str">
            <v>REDBL</v>
          </cell>
        </row>
        <row r="692">
          <cell r="A692" t="str">
            <v>REDDR1</v>
          </cell>
        </row>
        <row r="693">
          <cell r="A693" t="str">
            <v>REDMESA115</v>
          </cell>
        </row>
        <row r="694">
          <cell r="A694" t="str">
            <v>REEVES115</v>
          </cell>
        </row>
        <row r="695">
          <cell r="A695" t="str">
            <v>Reston230</v>
          </cell>
        </row>
        <row r="696">
          <cell r="A696" t="str">
            <v>RFL</v>
          </cell>
        </row>
        <row r="697">
          <cell r="A697" t="str">
            <v>RGC.DC.LF115</v>
          </cell>
        </row>
        <row r="698">
          <cell r="A698" t="str">
            <v>RICHLAND</v>
          </cell>
        </row>
        <row r="699">
          <cell r="A699" t="str">
            <v>River</v>
          </cell>
        </row>
        <row r="700">
          <cell r="A700" t="str">
            <v>Riverbend</v>
          </cell>
        </row>
        <row r="701">
          <cell r="A701" t="str">
            <v>RNDVALLEY230</v>
          </cell>
        </row>
        <row r="702">
          <cell r="A702" t="str">
            <v>ROGERS230</v>
          </cell>
        </row>
        <row r="703">
          <cell r="A703" t="str">
            <v>RoundButte</v>
          </cell>
        </row>
        <row r="704">
          <cell r="A704" t="str">
            <v>ROUNDVLY230</v>
          </cell>
        </row>
        <row r="705">
          <cell r="A705" t="str">
            <v>RRP</v>
          </cell>
        </row>
        <row r="706">
          <cell r="A706" t="str">
            <v>RRPLD</v>
          </cell>
        </row>
        <row r="707">
          <cell r="A707" t="str">
            <v>RSC230</v>
          </cell>
        </row>
        <row r="708">
          <cell r="A708" t="str">
            <v>RUDD230</v>
          </cell>
        </row>
        <row r="709">
          <cell r="A709" t="str">
            <v>RUDD500</v>
          </cell>
        </row>
        <row r="710">
          <cell r="A710" t="str">
            <v>SADLBROKRNCH</v>
          </cell>
        </row>
        <row r="711">
          <cell r="A711" t="str">
            <v>SAGUARO115</v>
          </cell>
        </row>
        <row r="712">
          <cell r="A712" t="str">
            <v>SAGUARO230</v>
          </cell>
        </row>
        <row r="713">
          <cell r="A713" t="str">
            <v>SAGUARO500</v>
          </cell>
        </row>
        <row r="714">
          <cell r="A714" t="str">
            <v>SalemPac</v>
          </cell>
        </row>
        <row r="715">
          <cell r="A715" t="str">
            <v>SALV</v>
          </cell>
        </row>
        <row r="716">
          <cell r="A716" t="str">
            <v>SAMN</v>
          </cell>
        </row>
        <row r="717">
          <cell r="A717" t="str">
            <v>SANFELIPE92</v>
          </cell>
        </row>
        <row r="718">
          <cell r="A718" t="str">
            <v>SantiamPac</v>
          </cell>
        </row>
        <row r="719">
          <cell r="A719" t="str">
            <v>Satsop230</v>
          </cell>
        </row>
        <row r="720">
          <cell r="A720" t="str">
            <v>Satsop230LD</v>
          </cell>
        </row>
        <row r="721">
          <cell r="A721" t="str">
            <v>SB211LOAD</v>
          </cell>
        </row>
        <row r="722">
          <cell r="A722" t="str">
            <v>SCG</v>
          </cell>
        </row>
        <row r="723">
          <cell r="A723" t="str">
            <v>SCL.SYSTEM</v>
          </cell>
        </row>
        <row r="724">
          <cell r="A724" t="str">
            <v>SCSE</v>
          </cell>
        </row>
        <row r="725">
          <cell r="A725" t="str">
            <v>SCSW</v>
          </cell>
        </row>
        <row r="726">
          <cell r="A726" t="str">
            <v>SCUTBANK</v>
          </cell>
        </row>
        <row r="727">
          <cell r="A727" t="str">
            <v>SEATAC</v>
          </cell>
        </row>
        <row r="728">
          <cell r="A728" t="str">
            <v>SELIGMAN230</v>
          </cell>
        </row>
        <row r="729">
          <cell r="A729" t="str">
            <v>SGE</v>
          </cell>
        </row>
        <row r="730">
          <cell r="A730" t="str">
            <v>SGW</v>
          </cell>
        </row>
        <row r="731">
          <cell r="A731" t="str">
            <v>SHCK</v>
          </cell>
        </row>
        <row r="732">
          <cell r="A732" t="str">
            <v>SHERIDAN</v>
          </cell>
        </row>
        <row r="733">
          <cell r="A733" t="str">
            <v>SHIPROCK115</v>
          </cell>
        </row>
        <row r="734">
          <cell r="A734" t="str">
            <v>SHIPROCK345</v>
          </cell>
        </row>
        <row r="735">
          <cell r="A735" t="str">
            <v>SHOWLOW69</v>
          </cell>
        </row>
        <row r="736">
          <cell r="A736" t="str">
            <v>SHR2</v>
          </cell>
        </row>
        <row r="737">
          <cell r="A737" t="str">
            <v>Sidney</v>
          </cell>
        </row>
        <row r="738">
          <cell r="A738" t="str">
            <v>SIG</v>
          </cell>
        </row>
        <row r="739">
          <cell r="A739" t="str">
            <v>SILVERKIN230</v>
          </cell>
        </row>
        <row r="740">
          <cell r="A740" t="str">
            <v>SILVERKIN500</v>
          </cell>
        </row>
        <row r="741">
          <cell r="A741" t="str">
            <v>SILVERPEAK55</v>
          </cell>
        </row>
        <row r="742">
          <cell r="A742" t="str">
            <v>SJ345</v>
          </cell>
        </row>
        <row r="743">
          <cell r="A743" t="str">
            <v>Slatt</v>
          </cell>
        </row>
        <row r="744">
          <cell r="A744" t="str">
            <v>SLATT230</v>
          </cell>
        </row>
        <row r="745">
          <cell r="A745" t="str">
            <v>SLATT230LD</v>
          </cell>
        </row>
        <row r="746">
          <cell r="A746" t="str">
            <v>SLV230</v>
          </cell>
        </row>
        <row r="747">
          <cell r="A747" t="str">
            <v>SLVA</v>
          </cell>
        </row>
        <row r="748">
          <cell r="A748" t="str">
            <v>SmithCreek</v>
          </cell>
        </row>
        <row r="749">
          <cell r="A749" t="str">
            <v>SMLK</v>
          </cell>
        </row>
        <row r="750">
          <cell r="A750" t="str">
            <v>SMUD.System</v>
          </cell>
        </row>
        <row r="751">
          <cell r="A751" t="str">
            <v>SNOH.PUD</v>
          </cell>
        </row>
        <row r="752">
          <cell r="A752" t="str">
            <v>Snohomish</v>
          </cell>
        </row>
        <row r="753">
          <cell r="A753" t="str">
            <v>SNWASYS</v>
          </cell>
        </row>
        <row r="754">
          <cell r="A754" t="str">
            <v>SOCO</v>
          </cell>
        </row>
        <row r="755">
          <cell r="A755" t="str">
            <v>South</v>
          </cell>
        </row>
        <row r="756">
          <cell r="A756" t="str">
            <v>SOUTHLOOP345</v>
          </cell>
        </row>
        <row r="757">
          <cell r="A757" t="str">
            <v>SOUTHTOLTGEN</v>
          </cell>
        </row>
        <row r="758">
          <cell r="A758" t="str">
            <v>SP_Newsprint</v>
          </cell>
        </row>
        <row r="759">
          <cell r="A759" t="str">
            <v>SP15</v>
          </cell>
        </row>
        <row r="760">
          <cell r="A760" t="str">
            <v>SP-15</v>
          </cell>
        </row>
        <row r="761">
          <cell r="A761" t="str">
            <v>SpgfldGenFrm</v>
          </cell>
        </row>
        <row r="762">
          <cell r="A762" t="str">
            <v>SPGR</v>
          </cell>
        </row>
        <row r="763">
          <cell r="A763" t="str">
            <v>SPI_CABO_GEN</v>
          </cell>
        </row>
        <row r="764">
          <cell r="A764" t="str">
            <v>SPOKANEWASTE</v>
          </cell>
        </row>
        <row r="765">
          <cell r="A765" t="str">
            <v>SPPC</v>
          </cell>
        </row>
        <row r="766">
          <cell r="A766" t="str">
            <v>SpringCreek</v>
          </cell>
        </row>
        <row r="767">
          <cell r="A767" t="str">
            <v>SPRINGER345</v>
          </cell>
        </row>
        <row r="768">
          <cell r="A768" t="str">
            <v>Springfield</v>
          </cell>
        </row>
        <row r="769">
          <cell r="A769" t="str">
            <v>SRP-SYSTEM</v>
          </cell>
        </row>
        <row r="770">
          <cell r="A770" t="str">
            <v>SS4</v>
          </cell>
        </row>
        <row r="771">
          <cell r="A771" t="str">
            <v>ST.PAUL</v>
          </cell>
        </row>
        <row r="772">
          <cell r="A772" t="str">
            <v>STANDIFORD</v>
          </cell>
        </row>
        <row r="773">
          <cell r="A773" t="str">
            <v>StarPoint</v>
          </cell>
        </row>
        <row r="774">
          <cell r="A774" t="str">
            <v>StateLineBPA</v>
          </cell>
        </row>
        <row r="775">
          <cell r="A775" t="str">
            <v>STDM</v>
          </cell>
        </row>
        <row r="776">
          <cell r="A776" t="str">
            <v>STORLK115</v>
          </cell>
        </row>
        <row r="777">
          <cell r="A777" t="str">
            <v>STVRN</v>
          </cell>
        </row>
        <row r="778">
          <cell r="A778" t="str">
            <v>STY</v>
          </cell>
        </row>
        <row r="779">
          <cell r="A779" t="str">
            <v>SUGARLOAF500</v>
          </cell>
        </row>
        <row r="780">
          <cell r="A780" t="str">
            <v>SUGARLOAF69</v>
          </cell>
        </row>
        <row r="781">
          <cell r="A781" t="str">
            <v>SUMAS</v>
          </cell>
        </row>
        <row r="782">
          <cell r="A782" t="str">
            <v>SumFalls</v>
          </cell>
        </row>
        <row r="783">
          <cell r="A783" t="str">
            <v>SUMMERLAKENT</v>
          </cell>
        </row>
        <row r="784">
          <cell r="A784" t="str">
            <v>SUMMIT120</v>
          </cell>
        </row>
        <row r="785">
          <cell r="A785" t="str">
            <v>Sunbeam</v>
          </cell>
        </row>
        <row r="786">
          <cell r="A786" t="str">
            <v>SUNDANCE</v>
          </cell>
        </row>
        <row r="787">
          <cell r="A787" t="str">
            <v>SUPERIOR115</v>
          </cell>
        </row>
        <row r="788">
          <cell r="A788" t="str">
            <v>SWR</v>
          </cell>
        </row>
        <row r="789">
          <cell r="A789" t="str">
            <v>SYLMAR</v>
          </cell>
        </row>
        <row r="790">
          <cell r="A790" t="str">
            <v>TAIBAN</v>
          </cell>
        </row>
        <row r="791">
          <cell r="A791" t="str">
            <v>Talbot</v>
          </cell>
        </row>
        <row r="792">
          <cell r="A792" t="str">
            <v>TANNER.AL</v>
          </cell>
        </row>
        <row r="793">
          <cell r="A793" t="str">
            <v>TANNER.LB</v>
          </cell>
        </row>
        <row r="794">
          <cell r="A794" t="str">
            <v>TANNER.NB</v>
          </cell>
        </row>
        <row r="795">
          <cell r="A795" t="str">
            <v>TAOS</v>
          </cell>
        </row>
        <row r="796">
          <cell r="A796" t="str">
            <v>TENASKA_GEN</v>
          </cell>
        </row>
        <row r="797">
          <cell r="A797" t="str">
            <v>TENDOY</v>
          </cell>
        </row>
        <row r="798">
          <cell r="A798" t="str">
            <v>TESLA230</v>
          </cell>
        </row>
        <row r="799">
          <cell r="A799" t="str">
            <v>TESLA500</v>
          </cell>
        </row>
        <row r="800">
          <cell r="A800" t="str">
            <v>TESORO449</v>
          </cell>
        </row>
        <row r="801">
          <cell r="A801" t="str">
            <v>TESTTRACK230</v>
          </cell>
        </row>
        <row r="802">
          <cell r="A802" t="str">
            <v>TESTTRACK69</v>
          </cell>
        </row>
        <row r="803">
          <cell r="A803" t="str">
            <v>THORNYDALE46</v>
          </cell>
        </row>
        <row r="804">
          <cell r="A804" t="str">
            <v>TID.SYSTEM</v>
          </cell>
        </row>
        <row r="805">
          <cell r="A805" t="str">
            <v>TIETON</v>
          </cell>
        </row>
        <row r="806">
          <cell r="A806" t="str">
            <v>Tillamook</v>
          </cell>
        </row>
        <row r="807">
          <cell r="A807" t="str">
            <v>TMK</v>
          </cell>
        </row>
        <row r="808">
          <cell r="A808" t="str">
            <v>TNDY</v>
          </cell>
        </row>
        <row r="809">
          <cell r="A809" t="str">
            <v>TNPSYS</v>
          </cell>
        </row>
        <row r="810">
          <cell r="A810" t="str">
            <v>TOLUCA</v>
          </cell>
        </row>
        <row r="811">
          <cell r="A811" t="str">
            <v>TONGUERIVER</v>
          </cell>
        </row>
        <row r="812">
          <cell r="A812" t="str">
            <v>TOPOCK230</v>
          </cell>
        </row>
        <row r="813">
          <cell r="A813" t="str">
            <v>TOT2AGW</v>
          </cell>
        </row>
        <row r="814">
          <cell r="A814" t="str">
            <v>TOT3GS</v>
          </cell>
        </row>
        <row r="815">
          <cell r="A815" t="str">
            <v>TOT5GW</v>
          </cell>
        </row>
        <row r="816">
          <cell r="A816" t="str">
            <v>TOWNSEND</v>
          </cell>
        </row>
        <row r="817">
          <cell r="A817" t="str">
            <v>TPWR.STAR</v>
          </cell>
        </row>
        <row r="818">
          <cell r="A818" t="str">
            <v>TROJAN</v>
          </cell>
        </row>
        <row r="819">
          <cell r="A819" t="str">
            <v>TRONA</v>
          </cell>
        </row>
        <row r="820">
          <cell r="A820" t="str">
            <v>Troutdale</v>
          </cell>
        </row>
        <row r="821">
          <cell r="A821" t="str">
            <v>TRY230</v>
          </cell>
        </row>
        <row r="822">
          <cell r="A822" t="str">
            <v>TRY500</v>
          </cell>
        </row>
        <row r="823">
          <cell r="A823" t="str">
            <v>TRY69</v>
          </cell>
        </row>
        <row r="824">
          <cell r="A824" t="str">
            <v>TSGTWSTATION</v>
          </cell>
        </row>
        <row r="825">
          <cell r="A825" t="str">
            <v>Tuolumne</v>
          </cell>
        </row>
        <row r="826">
          <cell r="A826" t="str">
            <v>TURQUOISE115</v>
          </cell>
        </row>
        <row r="827">
          <cell r="A827" t="str">
            <v>UINTA</v>
          </cell>
        </row>
        <row r="828">
          <cell r="A828" t="str">
            <v>UPLC</v>
          </cell>
        </row>
        <row r="829">
          <cell r="A829" t="str">
            <v>UPSK</v>
          </cell>
        </row>
        <row r="830">
          <cell r="A830" t="str">
            <v>VAIL345</v>
          </cell>
        </row>
        <row r="831">
          <cell r="A831" t="str">
            <v>VAL115</v>
          </cell>
        </row>
        <row r="832">
          <cell r="A832" t="str">
            <v>Vansycle</v>
          </cell>
        </row>
        <row r="833">
          <cell r="A833" t="str">
            <v>VEASYS</v>
          </cell>
        </row>
        <row r="834">
          <cell r="A834" t="str">
            <v>VEF</v>
          </cell>
        </row>
        <row r="835">
          <cell r="A835" t="str">
            <v>Vera</v>
          </cell>
        </row>
        <row r="836">
          <cell r="A836" t="str">
            <v>VICTORVILLE</v>
          </cell>
        </row>
        <row r="837">
          <cell r="A837" t="str">
            <v>VILA</v>
          </cell>
        </row>
        <row r="838">
          <cell r="A838" t="str">
            <v>VNL</v>
          </cell>
        </row>
        <row r="839">
          <cell r="A839" t="str">
            <v>VUL</v>
          </cell>
        </row>
        <row r="840">
          <cell r="A840" t="str">
            <v>WACM-WEST</v>
          </cell>
        </row>
        <row r="841">
          <cell r="A841" t="str">
            <v>WACMWSTATION</v>
          </cell>
        </row>
        <row r="842">
          <cell r="A842" t="str">
            <v>WALC.SYS</v>
          </cell>
        </row>
        <row r="843">
          <cell r="A843" t="str">
            <v>WALLAWALLA</v>
          </cell>
        </row>
        <row r="844">
          <cell r="A844" t="str">
            <v>WALNUT</v>
          </cell>
        </row>
        <row r="845">
          <cell r="A845" t="str">
            <v>WALT</v>
          </cell>
        </row>
        <row r="846">
          <cell r="A846" t="str">
            <v>Wasco</v>
          </cell>
        </row>
        <row r="847">
          <cell r="A847" t="str">
            <v>WASN.SYSTEM</v>
          </cell>
        </row>
        <row r="848">
          <cell r="A848" t="str">
            <v>WEED</v>
          </cell>
        </row>
        <row r="849">
          <cell r="A849" t="str">
            <v>West</v>
          </cell>
        </row>
        <row r="850">
          <cell r="A850" t="str">
            <v>WESTLEY</v>
          </cell>
        </row>
        <row r="851">
          <cell r="A851" t="str">
            <v>WESTPHX230</v>
          </cell>
        </row>
        <row r="852">
          <cell r="A852" t="str">
            <v>WestValley</v>
          </cell>
        </row>
        <row r="853">
          <cell r="A853" t="str">
            <v>WESTWING230</v>
          </cell>
        </row>
        <row r="854">
          <cell r="A854" t="str">
            <v>WESTWING345</v>
          </cell>
        </row>
        <row r="855">
          <cell r="A855" t="str">
            <v>WESTWING500</v>
          </cell>
        </row>
        <row r="856">
          <cell r="A856" t="str">
            <v>Weyerhauser2</v>
          </cell>
        </row>
        <row r="857">
          <cell r="A857" t="str">
            <v>WFDE</v>
          </cell>
        </row>
        <row r="858">
          <cell r="A858" t="str">
            <v>Wheatfield</v>
          </cell>
        </row>
        <row r="859">
          <cell r="A859" t="str">
            <v>WheatfieldLD</v>
          </cell>
        </row>
        <row r="860">
          <cell r="A860" t="str">
            <v>WhtCrkWind</v>
          </cell>
        </row>
        <row r="861">
          <cell r="A861" t="str">
            <v>WhtCrkWindLD</v>
          </cell>
        </row>
        <row r="862">
          <cell r="A862" t="str">
            <v>WHY230</v>
          </cell>
        </row>
        <row r="863">
          <cell r="A863" t="str">
            <v>WILC</v>
          </cell>
        </row>
        <row r="864">
          <cell r="A864" t="str">
            <v>WILLARD115</v>
          </cell>
        </row>
        <row r="865">
          <cell r="A865" t="str">
            <v>WILLIAMS69</v>
          </cell>
        </row>
        <row r="866">
          <cell r="A866" t="str">
            <v>WillowCreek</v>
          </cell>
        </row>
        <row r="867">
          <cell r="A867" t="str">
            <v>WINCHESTR345</v>
          </cell>
        </row>
        <row r="868">
          <cell r="A868" t="str">
            <v>WINDRIDGE</v>
          </cell>
        </row>
        <row r="869">
          <cell r="A869" t="str">
            <v>WINTERHAVEN</v>
          </cell>
        </row>
        <row r="870">
          <cell r="A870" t="str">
            <v>WM115</v>
          </cell>
        </row>
        <row r="871">
          <cell r="A871" t="str">
            <v>WM345</v>
          </cell>
        </row>
        <row r="872">
          <cell r="A872" t="str">
            <v>WOODLANDTAP</v>
          </cell>
        </row>
        <row r="873">
          <cell r="A873" t="str">
            <v>WPE</v>
          </cell>
        </row>
        <row r="874">
          <cell r="A874" t="str">
            <v>WPEnergizer</v>
          </cell>
        </row>
        <row r="875">
          <cell r="A875" t="str">
            <v>WRAY</v>
          </cell>
        </row>
        <row r="876">
          <cell r="A876" t="str">
            <v>WRS</v>
          </cell>
        </row>
        <row r="877">
          <cell r="A877" t="str">
            <v>WSTAR</v>
          </cell>
        </row>
        <row r="878">
          <cell r="A878" t="str">
            <v>WY69</v>
          </cell>
        </row>
        <row r="879">
          <cell r="A879" t="str">
            <v>Wynoochee</v>
          </cell>
        </row>
        <row r="880">
          <cell r="A880" t="str">
            <v>WYOCENTRAL</v>
          </cell>
        </row>
        <row r="881">
          <cell r="A881" t="str">
            <v>WYODAK</v>
          </cell>
        </row>
        <row r="882">
          <cell r="A882" t="str">
            <v>WYOEAST</v>
          </cell>
        </row>
        <row r="883">
          <cell r="A883" t="str">
            <v>WYONORTH</v>
          </cell>
        </row>
        <row r="884">
          <cell r="A884" t="str">
            <v>YakamaDPGen</v>
          </cell>
        </row>
        <row r="885">
          <cell r="A885" t="str">
            <v>Yakima</v>
          </cell>
        </row>
        <row r="886">
          <cell r="A886" t="str">
            <v>YakimaPac</v>
          </cell>
        </row>
        <row r="887">
          <cell r="A887" t="str">
            <v>Yamsay230</v>
          </cell>
        </row>
        <row r="888">
          <cell r="A888" t="str">
            <v>YATH</v>
          </cell>
        </row>
        <row r="889">
          <cell r="A889" t="str">
            <v>YEW</v>
          </cell>
        </row>
        <row r="890">
          <cell r="A890" t="str">
            <v>YOCN</v>
          </cell>
        </row>
        <row r="891">
          <cell r="A891" t="str">
            <v>YT115</v>
          </cell>
        </row>
        <row r="892">
          <cell r="A892" t="str">
            <v>YTP</v>
          </cell>
        </row>
        <row r="893">
          <cell r="A893" t="str">
            <v>YTW</v>
          </cell>
        </row>
        <row r="894">
          <cell r="A894" t="str">
            <v>YUCCA</v>
          </cell>
        </row>
        <row r="895">
          <cell r="A895" t="str">
            <v>YUCCA69</v>
          </cell>
        </row>
        <row r="896">
          <cell r="A896" t="str">
            <v>ZP26</v>
          </cell>
        </row>
      </sheetData>
      <sheetData sheetId="17" refreshError="1"/>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ks2008"/>
      <sheetName val="peakbyagency"/>
      <sheetName val="LU"/>
      <sheetName val="copkdata"/>
      <sheetName val="planreanel"/>
      <sheetName val="BApeakTable"/>
      <sheetName val="BApeakTable1in20"/>
      <sheetName val="BApeakTable1in10"/>
      <sheetName val="BApeakTable1in5"/>
      <sheetName val="BANELTable"/>
      <sheetName val="nelbyagency"/>
      <sheetName val="salesbyagency"/>
      <sheetName val="qfer"/>
      <sheetName val="baynb"/>
      <sheetName val="Sheet1"/>
    </sheetNames>
    <sheetDataSet>
      <sheetData sheetId="0" refreshError="1"/>
      <sheetData sheetId="1" refreshError="1"/>
      <sheetData sheetId="2" refreshError="1"/>
      <sheetData sheetId="3" refreshError="1"/>
      <sheetData sheetId="4">
        <row r="4">
          <cell r="B4">
            <v>2007</v>
          </cell>
        </row>
      </sheetData>
      <sheetData sheetId="5" refreshError="1"/>
      <sheetData sheetId="6" refreshError="1"/>
      <sheetData sheetId="7">
        <row r="93">
          <cell r="A93" t="str">
            <v>Control Area</v>
          </cell>
          <cell r="B93" t="str">
            <v>onein5</v>
          </cell>
          <cell r="C93" t="str">
            <v>1-in-10</v>
          </cell>
          <cell r="D93" t="str">
            <v>1-in-20</v>
          </cell>
        </row>
        <row r="94">
          <cell r="A94" t="str">
            <v>PGE</v>
          </cell>
          <cell r="B94">
            <v>1.0569999999999999</v>
          </cell>
          <cell r="C94">
            <v>1.073</v>
          </cell>
          <cell r="D94">
            <v>1.087</v>
          </cell>
        </row>
        <row r="95">
          <cell r="A95" t="str">
            <v>SCE</v>
          </cell>
          <cell r="B95">
            <v>1.0680000000000001</v>
          </cell>
          <cell r="C95">
            <v>1.0880000000000001</v>
          </cell>
          <cell r="D95">
            <v>1.1040000000000001</v>
          </cell>
        </row>
        <row r="96">
          <cell r="A96" t="str">
            <v>SDGE</v>
          </cell>
          <cell r="B96">
            <v>1.0780000000000001</v>
          </cell>
          <cell r="C96">
            <v>1.1000000000000001</v>
          </cell>
          <cell r="D96">
            <v>1.119</v>
          </cell>
        </row>
        <row r="97">
          <cell r="A97" t="str">
            <v>LADWP</v>
          </cell>
          <cell r="B97">
            <v>1.0663</v>
          </cell>
          <cell r="C97">
            <v>1.0851</v>
          </cell>
          <cell r="D97">
            <v>1.1013999999999999</v>
          </cell>
        </row>
        <row r="98">
          <cell r="A98" t="str">
            <v>SMUD</v>
          </cell>
          <cell r="B98">
            <v>1.0724899999999999</v>
          </cell>
          <cell r="C98">
            <v>1.09301</v>
          </cell>
          <cell r="D98">
            <v>1.11083</v>
          </cell>
        </row>
        <row r="99">
          <cell r="A99" t="str">
            <v>TID</v>
          </cell>
          <cell r="B99">
            <v>1.0527599999999999</v>
          </cell>
          <cell r="C99">
            <v>1.0677000000000001</v>
          </cell>
          <cell r="D99">
            <v>1.08066</v>
          </cell>
        </row>
        <row r="100">
          <cell r="A100" t="str">
            <v>IID</v>
          </cell>
          <cell r="B100">
            <v>1.0676000000000001</v>
          </cell>
          <cell r="C100">
            <v>1.0780000000000001</v>
          </cell>
          <cell r="D100">
            <v>1.117</v>
          </cell>
        </row>
        <row r="101">
          <cell r="A101" t="str">
            <v>LADWPBA</v>
          </cell>
          <cell r="B101">
            <v>1.07633</v>
          </cell>
          <cell r="C101">
            <v>1.0979399999999999</v>
          </cell>
          <cell r="D101">
            <v>1.1167</v>
          </cell>
        </row>
        <row r="102">
          <cell r="A102" t="str">
            <v>SMUDBA</v>
          </cell>
          <cell r="B102">
            <v>1.0710999999999999</v>
          </cell>
          <cell r="C102">
            <v>1.0912299999999999</v>
          </cell>
          <cell r="D102">
            <v>1.1087</v>
          </cell>
        </row>
        <row r="103">
          <cell r="A103" t="str">
            <v>TID</v>
          </cell>
          <cell r="B103">
            <v>1.0653900000000001</v>
          </cell>
          <cell r="C103">
            <v>1.0839000000000001</v>
          </cell>
          <cell r="D103">
            <v>1.0999699999999999</v>
          </cell>
        </row>
        <row r="104">
          <cell r="A104" t="str">
            <v>SP26</v>
          </cell>
          <cell r="B104">
            <v>1.0730999999999999</v>
          </cell>
          <cell r="C104">
            <v>1.09379</v>
          </cell>
          <cell r="D104">
            <v>1.11175</v>
          </cell>
        </row>
        <row r="105">
          <cell r="A105" t="str">
            <v>GBAY</v>
          </cell>
          <cell r="B105">
            <v>1.0579099999999999</v>
          </cell>
          <cell r="C105">
            <v>1.0743100000000001</v>
          </cell>
          <cell r="D105">
            <v>1.0885400000000001</v>
          </cell>
        </row>
        <row r="106">
          <cell r="A106" t="str">
            <v>BCVTOTAL</v>
          </cell>
          <cell r="B106">
            <v>1.054</v>
          </cell>
          <cell r="C106">
            <v>1.069</v>
          </cell>
          <cell r="D106">
            <v>1.0820000000000001</v>
          </cell>
        </row>
        <row r="107">
          <cell r="A107" t="str">
            <v>labasinlra</v>
          </cell>
          <cell r="B107">
            <v>1.077</v>
          </cell>
          <cell r="C107">
            <v>1.0980000000000001</v>
          </cell>
          <cell r="D107">
            <v>1.117</v>
          </cell>
        </row>
        <row r="108">
          <cell r="C108">
            <v>0</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nergy.ca.gov/2015_energypolicy/documents/2016-01-27_load_serving_entity_and_Balencing_authority.php"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nergy.ca.gov/2015_energypolicy/documents/2016-01-27_load_serving_entity_and_Balencing_authority.php"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pacificorp.com/content/dam/pacificorp/doc/Energy_Sources/Integrated_Resource_Plan/2015%20IRP%20Update/2015_IRP_Update_Load_Forecast.pdf" TargetMode="External"/><Relationship Id="rId1" Type="http://schemas.openxmlformats.org/officeDocument/2006/relationships/hyperlink" Target="http://www.pacificorp.com/content/dam/pacificorp/doc/Energy_Sources/Integrated_Resource_Plan/2015%20IRP%20Update/2015_IRP_Update_Projected_Energy_Mi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cols>
    <col min="1" max="1" width="111.28515625" customWidth="1"/>
  </cols>
  <sheetData>
    <row r="1" spans="1:1" ht="60.75" x14ac:dyDescent="0.25">
      <c r="A1" s="132" t="s">
        <v>278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Normal="100" workbookViewId="0"/>
  </sheetViews>
  <sheetFormatPr defaultRowHeight="15" x14ac:dyDescent="0.25"/>
  <cols>
    <col min="1" max="1" width="34.7109375" customWidth="1"/>
    <col min="2" max="11" width="9" bestFit="1" customWidth="1"/>
    <col min="12" max="12" width="51.140625" style="3" customWidth="1"/>
    <col min="14" max="14" width="8.7109375" customWidth="1"/>
    <col min="15" max="15" width="52.42578125" customWidth="1"/>
  </cols>
  <sheetData>
    <row r="1" spans="1:18" s="60" customFormat="1" ht="15.6" x14ac:dyDescent="0.3">
      <c r="A1" s="103" t="s">
        <v>65</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v>152025.61874394823</v>
      </c>
      <c r="C3" s="67">
        <f t="shared" ref="C3:G3" si="0">B3*(1+$N$9)</f>
        <v>152649.87402571586</v>
      </c>
      <c r="D3" s="67">
        <f t="shared" si="0"/>
        <v>153276.69265608248</v>
      </c>
      <c r="E3" s="67">
        <f t="shared" si="0"/>
        <v>153906.08516079967</v>
      </c>
      <c r="F3" s="67">
        <f t="shared" si="0"/>
        <v>154538.06210884044</v>
      </c>
      <c r="G3" s="67">
        <f t="shared" si="0"/>
        <v>155172.6341125766</v>
      </c>
      <c r="H3" s="67">
        <f t="shared" ref="H3:K4" si="1">G3*(1+$N$9)</f>
        <v>155809.81182795708</v>
      </c>
      <c r="I3" s="67">
        <f t="shared" si="1"/>
        <v>156449.60595468676</v>
      </c>
      <c r="J3" s="67">
        <f t="shared" si="1"/>
        <v>157092.0272364062</v>
      </c>
      <c r="K3" s="67">
        <f t="shared" si="1"/>
        <v>157737.08646087203</v>
      </c>
      <c r="L3" s="89" t="s">
        <v>219</v>
      </c>
      <c r="N3" s="64">
        <v>0.91839999999999999</v>
      </c>
      <c r="O3" s="9" t="s">
        <v>203</v>
      </c>
    </row>
    <row r="4" spans="1:18" s="60" customFormat="1" ht="57.6" x14ac:dyDescent="0.3">
      <c r="A4" s="105" t="s">
        <v>170</v>
      </c>
      <c r="B4" s="63">
        <f>SUMIFS('Form 1.1c'!J:J, 'Form 1.1c'!$B:$B, "City of Banning")*1000</f>
        <v>152000</v>
      </c>
      <c r="C4" s="63">
        <f>SUMIFS('Form 1.1c'!K:K, 'Form 1.1c'!$B:$B, "City of Banning")*1000</f>
        <v>153000</v>
      </c>
      <c r="D4" s="63">
        <f>SUMIFS('Form 1.1c'!L:L, 'Form 1.1c'!$B:$B, "City of Banning")*1000</f>
        <v>153000</v>
      </c>
      <c r="E4" s="63">
        <f>SUMIFS('Form 1.1c'!M:M, 'Form 1.1c'!$B:$B, "City of Banning")*1000</f>
        <v>153000</v>
      </c>
      <c r="F4" s="63">
        <f>SUMIFS('Form 1.1c'!N:N, 'Form 1.1c'!$B:$B, "City of Banning")*1000</f>
        <v>154000</v>
      </c>
      <c r="G4" s="63">
        <f>SUMIFS('Form 1.1c'!O:O, 'Form 1.1c'!$B:$B, "City of Banning")*1000</f>
        <v>154000</v>
      </c>
      <c r="H4" s="67">
        <f>AVERAGE(E4:G4)*(1+$N$9)</f>
        <v>154297.66050238232</v>
      </c>
      <c r="I4" s="63">
        <f t="shared" si="1"/>
        <v>154931.24535688787</v>
      </c>
      <c r="J4" s="63">
        <f t="shared" si="1"/>
        <v>155567.43186955564</v>
      </c>
      <c r="K4" s="63">
        <f t="shared" si="1"/>
        <v>156206.23072344594</v>
      </c>
      <c r="L4" s="89" t="s">
        <v>222</v>
      </c>
      <c r="N4" s="70">
        <f>0.15</f>
        <v>0.15</v>
      </c>
      <c r="O4" s="89" t="s">
        <v>166</v>
      </c>
    </row>
    <row r="5" spans="1:18" s="60" customFormat="1" ht="28.9" x14ac:dyDescent="0.3">
      <c r="A5" s="105" t="s">
        <v>194</v>
      </c>
      <c r="B5" s="63">
        <f>IF(AND(0&lt;($C$3-$C$4)/$C$3,($C$3-$C$4)/$C$3&lt;$N$4),B4,B3*(1-$N$5))</f>
        <v>141383.82543187184</v>
      </c>
      <c r="C5" s="63">
        <f>IF(AND(0&lt;($C$3-$C$4)/$C$3,($C$3-$C$4)/$C$3&lt;$N$4),C4,C3*(1-$N$5))</f>
        <v>141964.38284391575</v>
      </c>
      <c r="D5" s="63">
        <f t="shared" ref="D5:K5" si="2">IF(AND(0&lt;($C$3-$C$4)/$C$3,($C$3-$C$4)/$C$3&lt;$N$4),D4,D3*(1-$N$5))</f>
        <v>142547.3241701567</v>
      </c>
      <c r="E5" s="63">
        <f t="shared" si="2"/>
        <v>143132.65919954368</v>
      </c>
      <c r="F5" s="63">
        <f t="shared" si="2"/>
        <v>143720.3977612216</v>
      </c>
      <c r="G5" s="63">
        <f t="shared" si="2"/>
        <v>144310.54972469623</v>
      </c>
      <c r="H5" s="63">
        <f t="shared" si="2"/>
        <v>144903.12500000006</v>
      </c>
      <c r="I5" s="63">
        <f t="shared" si="2"/>
        <v>145498.13353785867</v>
      </c>
      <c r="J5" s="63">
        <f t="shared" si="2"/>
        <v>146095.58532985774</v>
      </c>
      <c r="K5" s="63">
        <f t="shared" si="2"/>
        <v>146695.49040861099</v>
      </c>
      <c r="L5" s="89" t="s">
        <v>223</v>
      </c>
      <c r="N5" s="70">
        <f>0.07</f>
        <v>7.0000000000000007E-2</v>
      </c>
      <c r="O5" s="89" t="s">
        <v>220</v>
      </c>
    </row>
    <row r="6" spans="1:18" s="60" customFormat="1" ht="28.9" x14ac:dyDescent="0.3">
      <c r="A6" s="105" t="s">
        <v>171</v>
      </c>
      <c r="B6" s="63">
        <v>0</v>
      </c>
      <c r="C6" s="63">
        <v>0</v>
      </c>
      <c r="D6" s="63">
        <v>0</v>
      </c>
      <c r="E6" s="63">
        <v>0</v>
      </c>
      <c r="F6" s="63">
        <v>0</v>
      </c>
      <c r="G6" s="63">
        <v>0</v>
      </c>
      <c r="H6" s="63">
        <v>0</v>
      </c>
      <c r="I6" s="63">
        <v>0</v>
      </c>
      <c r="J6" s="63">
        <v>0</v>
      </c>
      <c r="K6" s="63">
        <v>0</v>
      </c>
      <c r="L6" s="120" t="s">
        <v>259</v>
      </c>
      <c r="N6" s="65">
        <v>0.05</v>
      </c>
      <c r="O6" s="89" t="s">
        <v>204</v>
      </c>
    </row>
    <row r="7" spans="1:18" s="60" customFormat="1" ht="28.9" x14ac:dyDescent="0.3">
      <c r="A7" s="105" t="s">
        <v>172</v>
      </c>
      <c r="B7" s="63">
        <v>19000</v>
      </c>
      <c r="C7" s="63">
        <f>B7</f>
        <v>19000</v>
      </c>
      <c r="D7" s="63">
        <f t="shared" ref="D7:K8" si="3">C7</f>
        <v>19000</v>
      </c>
      <c r="E7" s="63">
        <f t="shared" si="3"/>
        <v>19000</v>
      </c>
      <c r="F7" s="63">
        <f t="shared" si="3"/>
        <v>19000</v>
      </c>
      <c r="G7" s="63">
        <f t="shared" si="3"/>
        <v>19000</v>
      </c>
      <c r="H7" s="63">
        <f t="shared" si="3"/>
        <v>19000</v>
      </c>
      <c r="I7" s="63">
        <f t="shared" si="3"/>
        <v>19000</v>
      </c>
      <c r="J7" s="63">
        <f t="shared" si="3"/>
        <v>19000</v>
      </c>
      <c r="K7" s="63">
        <f t="shared" si="3"/>
        <v>19000</v>
      </c>
      <c r="L7" s="89" t="s">
        <v>260</v>
      </c>
      <c r="N7" s="86">
        <v>0.85099999999999998</v>
      </c>
      <c r="O7" s="89" t="s">
        <v>168</v>
      </c>
    </row>
    <row r="8" spans="1:18" s="60" customFormat="1" ht="14.45" x14ac:dyDescent="0.3">
      <c r="A8" s="105" t="s">
        <v>173</v>
      </c>
      <c r="B8" s="63">
        <v>2000</v>
      </c>
      <c r="C8" s="67">
        <f>B8</f>
        <v>2000</v>
      </c>
      <c r="D8" s="67">
        <f t="shared" si="3"/>
        <v>2000</v>
      </c>
      <c r="E8" s="67">
        <f t="shared" si="3"/>
        <v>2000</v>
      </c>
      <c r="F8" s="67">
        <f t="shared" si="3"/>
        <v>2000</v>
      </c>
      <c r="G8" s="67">
        <f t="shared" si="3"/>
        <v>2000</v>
      </c>
      <c r="H8" s="67">
        <f t="shared" si="3"/>
        <v>2000</v>
      </c>
      <c r="I8" s="67">
        <f t="shared" si="3"/>
        <v>2000</v>
      </c>
      <c r="J8" s="67">
        <f t="shared" si="3"/>
        <v>2000</v>
      </c>
      <c r="K8" s="67">
        <f t="shared" si="3"/>
        <v>2000</v>
      </c>
      <c r="L8" s="89" t="s">
        <v>258</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4.1062505578026709E-3</v>
      </c>
      <c r="O9" s="89" t="s">
        <v>206</v>
      </c>
    </row>
    <row r="10" spans="1:18" s="60" customFormat="1" ht="15.6" x14ac:dyDescent="0.3">
      <c r="A10" s="105" t="s">
        <v>174</v>
      </c>
      <c r="B10" s="63">
        <f>B5*B9</f>
        <v>48070.50064683643</v>
      </c>
      <c r="C10" s="63">
        <f t="shared" ref="C10:K10" si="4">C5*C9</f>
        <v>51107.177823809667</v>
      </c>
      <c r="D10" s="63">
        <f t="shared" si="4"/>
        <v>52742.509942957979</v>
      </c>
      <c r="E10" s="63">
        <f t="shared" si="4"/>
        <v>55821.737087822039</v>
      </c>
      <c r="F10" s="63">
        <f t="shared" si="4"/>
        <v>58925.363082100848</v>
      </c>
      <c r="G10" s="63">
        <f t="shared" si="4"/>
        <v>60610.430884372414</v>
      </c>
      <c r="H10" s="63">
        <f t="shared" si="4"/>
        <v>63757.375000000029</v>
      </c>
      <c r="I10" s="63">
        <f t="shared" si="4"/>
        <v>66929.141427414987</v>
      </c>
      <c r="J10" s="63">
        <f t="shared" si="4"/>
        <v>70125.88095833172</v>
      </c>
      <c r="K10" s="63">
        <f t="shared" si="4"/>
        <v>73347.745204305495</v>
      </c>
      <c r="L10" s="89" t="s">
        <v>207</v>
      </c>
      <c r="N10" s="68"/>
      <c r="O10" s="62"/>
    </row>
    <row r="11" spans="1:18" s="60" customFormat="1" ht="28.9" x14ac:dyDescent="0.3">
      <c r="A11" s="105" t="s">
        <v>175</v>
      </c>
      <c r="B11" s="63">
        <f t="shared" ref="B11:K11" si="5">MAX(B3-SUM(B6:B8,B10), B3*$N$6)</f>
        <v>82955.118097111801</v>
      </c>
      <c r="C11" s="63">
        <f t="shared" si="5"/>
        <v>80542.69620190619</v>
      </c>
      <c r="D11" s="63">
        <f t="shared" si="5"/>
        <v>79534.182713124494</v>
      </c>
      <c r="E11" s="63">
        <f t="shared" si="5"/>
        <v>77084.348072977635</v>
      </c>
      <c r="F11" s="63">
        <f t="shared" si="5"/>
        <v>74612.699026739603</v>
      </c>
      <c r="G11" s="63">
        <f t="shared" si="5"/>
        <v>73562.203228204191</v>
      </c>
      <c r="H11" s="63">
        <f t="shared" si="5"/>
        <v>71052.436827957048</v>
      </c>
      <c r="I11" s="63">
        <f t="shared" si="5"/>
        <v>68520.464527271775</v>
      </c>
      <c r="J11" s="63">
        <f t="shared" si="5"/>
        <v>65966.146278074477</v>
      </c>
      <c r="K11" s="63">
        <f t="shared" si="5"/>
        <v>63389.341256566535</v>
      </c>
      <c r="L11" s="89" t="s">
        <v>208</v>
      </c>
      <c r="N11" s="68"/>
      <c r="O11" s="62"/>
    </row>
    <row r="12" spans="1:18" s="60" customFormat="1" ht="43.9" x14ac:dyDescent="0.35">
      <c r="A12" s="105" t="s">
        <v>197</v>
      </c>
      <c r="B12" s="63">
        <f t="shared" ref="B12:K12" si="6">B6*$N$3+B11*$N$2</f>
        <v>36118.658419482475</v>
      </c>
      <c r="C12" s="63">
        <f t="shared" si="6"/>
        <v>35068.289926309953</v>
      </c>
      <c r="D12" s="63">
        <f t="shared" si="6"/>
        <v>34629.183153294405</v>
      </c>
      <c r="E12" s="63">
        <f t="shared" si="6"/>
        <v>33562.525150974463</v>
      </c>
      <c r="F12" s="63">
        <f t="shared" si="6"/>
        <v>32486.369156242425</v>
      </c>
      <c r="G12" s="63">
        <f t="shared" si="6"/>
        <v>32028.983285560105</v>
      </c>
      <c r="H12" s="63">
        <f t="shared" si="6"/>
        <v>30936.230994892499</v>
      </c>
      <c r="I12" s="63">
        <f t="shared" si="6"/>
        <v>29833.810255174132</v>
      </c>
      <c r="J12" s="63">
        <f t="shared" si="6"/>
        <v>28721.660089473629</v>
      </c>
      <c r="K12" s="63">
        <f t="shared" si="6"/>
        <v>27599.719183109071</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7">$K$13*B14</f>
        <v>0</v>
      </c>
      <c r="C15" s="88">
        <f t="shared" si="7"/>
        <v>0</v>
      </c>
      <c r="D15" s="88">
        <f t="shared" si="7"/>
        <v>0</v>
      </c>
      <c r="E15" s="88">
        <f t="shared" si="7"/>
        <v>0</v>
      </c>
      <c r="F15" s="88">
        <f t="shared" si="7"/>
        <v>0</v>
      </c>
      <c r="G15" s="88">
        <f t="shared" si="7"/>
        <v>0</v>
      </c>
      <c r="H15" s="88">
        <f t="shared" si="7"/>
        <v>0</v>
      </c>
      <c r="I15" s="88">
        <f t="shared" si="7"/>
        <v>0</v>
      </c>
      <c r="J15" s="88">
        <f t="shared" si="7"/>
        <v>0</v>
      </c>
      <c r="K15" s="88">
        <f t="shared" si="7"/>
        <v>0</v>
      </c>
      <c r="L15" s="108" t="s">
        <v>211</v>
      </c>
    </row>
    <row r="16" spans="1:18" s="60" customFormat="1" ht="30" x14ac:dyDescent="0.35">
      <c r="A16" s="105" t="s">
        <v>199</v>
      </c>
      <c r="B16" s="82">
        <f t="shared" ref="B16:K16" si="8">B12/B3</f>
        <v>0.23758270953210819</v>
      </c>
      <c r="C16" s="82">
        <f t="shared" si="8"/>
        <v>0.22973022513207081</v>
      </c>
      <c r="D16" s="82">
        <f t="shared" si="8"/>
        <v>0.22592595490688397</v>
      </c>
      <c r="E16" s="82">
        <f t="shared" si="8"/>
        <v>0.21807146296982763</v>
      </c>
      <c r="F16" s="82">
        <f t="shared" si="8"/>
        <v>0.21021597341736059</v>
      </c>
      <c r="G16" s="82">
        <f t="shared" si="8"/>
        <v>0.20640871032918931</v>
      </c>
      <c r="H16" s="82">
        <f t="shared" si="8"/>
        <v>0.19855123776833666</v>
      </c>
      <c r="I16" s="82">
        <f t="shared" si="8"/>
        <v>0.1906927797812098</v>
      </c>
      <c r="J16" s="82">
        <f t="shared" si="8"/>
        <v>0.18283334039766827</v>
      </c>
      <c r="K16" s="82">
        <f t="shared" si="8"/>
        <v>0.17497292363109171</v>
      </c>
      <c r="L16" s="89" t="s">
        <v>212</v>
      </c>
    </row>
    <row r="17" spans="1:18" s="60" customFormat="1" ht="30.6" thickBot="1" x14ac:dyDescent="0.4">
      <c r="A17" s="105" t="s">
        <v>200</v>
      </c>
      <c r="B17" s="81">
        <f>B15*B16</f>
        <v>0</v>
      </c>
      <c r="C17" s="81">
        <f t="shared" ref="C17:K17" si="9">C15*C16</f>
        <v>0</v>
      </c>
      <c r="D17" s="81">
        <f t="shared" si="9"/>
        <v>0</v>
      </c>
      <c r="E17" s="81">
        <f t="shared" si="9"/>
        <v>0</v>
      </c>
      <c r="F17" s="81">
        <f t="shared" si="9"/>
        <v>0</v>
      </c>
      <c r="G17" s="81">
        <f t="shared" si="9"/>
        <v>0</v>
      </c>
      <c r="H17" s="81">
        <f t="shared" si="9"/>
        <v>0</v>
      </c>
      <c r="I17" s="81">
        <f t="shared" si="9"/>
        <v>0</v>
      </c>
      <c r="J17" s="81">
        <f t="shared" si="9"/>
        <v>0</v>
      </c>
      <c r="K17" s="81">
        <f t="shared" si="9"/>
        <v>0</v>
      </c>
      <c r="L17" s="89" t="s">
        <v>213</v>
      </c>
    </row>
    <row r="18" spans="1:18" ht="43.9" thickBot="1" x14ac:dyDescent="0.35">
      <c r="A18" s="128" t="s">
        <v>201</v>
      </c>
      <c r="B18" s="84">
        <f t="shared" ref="B18:K18" si="10">B12*(B14/$N$7)-B17</f>
        <v>34675.609786976711</v>
      </c>
      <c r="C18" s="84">
        <f t="shared" si="10"/>
        <v>32266.12339870822</v>
      </c>
      <c r="D18" s="84">
        <f t="shared" si="10"/>
        <v>30478.56425595477</v>
      </c>
      <c r="E18" s="84">
        <f t="shared" si="10"/>
        <v>28198.831354814032</v>
      </c>
      <c r="F18" s="84">
        <f t="shared" si="10"/>
        <v>25996.730194360862</v>
      </c>
      <c r="G18" s="84">
        <f t="shared" si="10"/>
        <v>24351.060147776014</v>
      </c>
      <c r="H18" s="84">
        <f t="shared" si="10"/>
        <v>22320.617897607513</v>
      </c>
      <c r="I18" s="84">
        <f t="shared" si="10"/>
        <v>20333.266683902464</v>
      </c>
      <c r="J18" s="84">
        <f t="shared" si="10"/>
        <v>18427.763112635257</v>
      </c>
      <c r="K18" s="84">
        <f t="shared" si="10"/>
        <v>16572.804350844577</v>
      </c>
      <c r="L18" s="93" t="s">
        <v>214</v>
      </c>
      <c r="N18" s="60"/>
      <c r="O18" s="60"/>
      <c r="P18" s="60"/>
      <c r="Q18" s="60"/>
      <c r="R18" s="60"/>
    </row>
    <row r="19" spans="1:18" ht="14.45" x14ac:dyDescent="0.3">
      <c r="A19" s="85"/>
      <c r="B19" s="85"/>
      <c r="C19" s="85"/>
      <c r="D19" s="85"/>
      <c r="E19" s="85"/>
      <c r="F19" s="85"/>
      <c r="G19" s="85"/>
      <c r="H19" s="85"/>
      <c r="I19" s="85"/>
      <c r="J19" s="85"/>
      <c r="K19" s="85"/>
    </row>
  </sheetData>
  <mergeCells count="3">
    <mergeCell ref="B1:L1"/>
    <mergeCell ref="N1:O1"/>
    <mergeCell ref="B13:J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heetViews>
  <sheetFormatPr defaultRowHeight="15" x14ac:dyDescent="0.25"/>
  <cols>
    <col min="1" max="1" width="36.28515625" customWidth="1"/>
    <col min="2" max="11" width="8" bestFit="1" customWidth="1"/>
    <col min="12" max="12" width="54.85546875" customWidth="1"/>
    <col min="15" max="15" width="52.5703125" customWidth="1"/>
  </cols>
  <sheetData>
    <row r="1" spans="1:15" s="60" customFormat="1" ht="14.45" x14ac:dyDescent="0.3">
      <c r="A1" s="103" t="s">
        <v>44</v>
      </c>
      <c r="B1" s="141" t="s">
        <v>176</v>
      </c>
      <c r="C1" s="142"/>
      <c r="D1" s="142"/>
      <c r="E1" s="142"/>
      <c r="F1" s="142"/>
      <c r="G1" s="142"/>
      <c r="H1" s="142"/>
      <c r="I1" s="142"/>
      <c r="J1" s="142"/>
      <c r="K1" s="142"/>
      <c r="L1" s="143"/>
      <c r="N1" s="144" t="s">
        <v>196</v>
      </c>
      <c r="O1" s="145"/>
    </row>
    <row r="2" spans="1:15" s="60" customFormat="1" ht="14.45" x14ac:dyDescent="0.3">
      <c r="A2" s="104" t="s">
        <v>152</v>
      </c>
      <c r="B2" s="125">
        <v>2021</v>
      </c>
      <c r="C2" s="125">
        <v>2022</v>
      </c>
      <c r="D2" s="125">
        <v>2023</v>
      </c>
      <c r="E2" s="125">
        <v>2024</v>
      </c>
      <c r="F2" s="125">
        <v>2025</v>
      </c>
      <c r="G2" s="125">
        <v>2026</v>
      </c>
      <c r="H2" s="125">
        <v>2027</v>
      </c>
      <c r="I2" s="125">
        <v>2028</v>
      </c>
      <c r="J2" s="125">
        <v>2029</v>
      </c>
      <c r="K2" s="124">
        <v>2030</v>
      </c>
      <c r="L2" s="92" t="s">
        <v>177</v>
      </c>
      <c r="N2" s="61">
        <v>0.43540000000000001</v>
      </c>
      <c r="O2" s="61" t="s">
        <v>273</v>
      </c>
    </row>
    <row r="3" spans="1:15" s="60" customFormat="1" ht="72.599999999999994" x14ac:dyDescent="0.35">
      <c r="A3" s="105" t="s">
        <v>169</v>
      </c>
      <c r="B3" s="63">
        <v>16115.447175401969</v>
      </c>
      <c r="C3" s="63">
        <v>16105.732343652451</v>
      </c>
      <c r="D3" s="63">
        <v>16099.567308846808</v>
      </c>
      <c r="E3" s="63">
        <v>16097.615999999998</v>
      </c>
      <c r="F3" s="63">
        <v>16097.615999999998</v>
      </c>
      <c r="G3" s="63">
        <v>16097.615999999998</v>
      </c>
      <c r="H3" s="67">
        <f>AVERAGE(E3:G3)*(1+$N$9)</f>
        <v>16163.199680205638</v>
      </c>
      <c r="I3" s="67">
        <f t="shared" ref="I3:K4" si="0">H3*(1+$N$9)</f>
        <v>16229.050556442622</v>
      </c>
      <c r="J3" s="67">
        <f t="shared" si="0"/>
        <v>16295.169717300656</v>
      </c>
      <c r="K3" s="67">
        <f t="shared" si="0"/>
        <v>16361.558255804497</v>
      </c>
      <c r="L3" s="89" t="s">
        <v>272</v>
      </c>
      <c r="N3" s="64">
        <v>0.91839999999999999</v>
      </c>
      <c r="O3" s="9" t="s">
        <v>203</v>
      </c>
    </row>
    <row r="4" spans="1:15" s="60" customFormat="1" ht="57.6" x14ac:dyDescent="0.3">
      <c r="A4" s="105" t="s">
        <v>170</v>
      </c>
      <c r="B4" s="63">
        <f>SUMIFS('Form 1.1c'!J:J, 'Form 1.1c'!$B:$B, "City of Biggs")*1000</f>
        <v>16000</v>
      </c>
      <c r="C4" s="63">
        <f>SUMIFS('Form 1.1c'!K:K, 'Form 1.1c'!$B:$B, "City of Biggs")*1000</f>
        <v>16000</v>
      </c>
      <c r="D4" s="63">
        <f>SUMIFS('Form 1.1c'!L:L, 'Form 1.1c'!$B:$B, "City of Biggs")*1000</f>
        <v>16000</v>
      </c>
      <c r="E4" s="63">
        <f>SUMIFS('Form 1.1c'!M:M, 'Form 1.1c'!$B:$B, "City of Biggs")*1000</f>
        <v>16000</v>
      </c>
      <c r="F4" s="63">
        <f>SUMIFS('Form 1.1c'!N:N, 'Form 1.1c'!$B:$B, "City of Biggs")*1000</f>
        <v>16000</v>
      </c>
      <c r="G4" s="63">
        <f>SUMIFS('Form 1.1c'!O:O, 'Form 1.1c'!$B:$B, "City of Biggs")*1000</f>
        <v>17000</v>
      </c>
      <c r="H4" s="67">
        <f>AVERAGE(E4:G4)*(1+$N$9)</f>
        <v>16399.877355132925</v>
      </c>
      <c r="I4" s="63">
        <f t="shared" si="0"/>
        <v>16466.692485514388</v>
      </c>
      <c r="J4" s="63">
        <f t="shared" si="0"/>
        <v>16533.779829007646</v>
      </c>
      <c r="K4" s="63">
        <f t="shared" si="0"/>
        <v>16601.140494642612</v>
      </c>
      <c r="L4" s="89" t="s">
        <v>222</v>
      </c>
      <c r="N4" s="70">
        <f>0.15</f>
        <v>0.15</v>
      </c>
      <c r="O4" s="61" t="s">
        <v>166</v>
      </c>
    </row>
    <row r="5" spans="1:15" s="60" customFormat="1" ht="28.9" x14ac:dyDescent="0.3">
      <c r="A5" s="105" t="s">
        <v>194</v>
      </c>
      <c r="B5" s="63">
        <f t="shared" ref="B5:G5" si="1">IF(AND(0&lt;($G$3-$G$4)/$G$3,($G$3-$G$4)/$G$3&lt;$N$4),B4,B3*(1-$N$5))</f>
        <v>14987.36587312383</v>
      </c>
      <c r="C5" s="63">
        <f t="shared" si="1"/>
        <v>14978.331079596779</v>
      </c>
      <c r="D5" s="63">
        <f t="shared" si="1"/>
        <v>14972.59759722753</v>
      </c>
      <c r="E5" s="63">
        <f t="shared" si="1"/>
        <v>14970.782879999997</v>
      </c>
      <c r="F5" s="63">
        <f t="shared" si="1"/>
        <v>14970.782879999997</v>
      </c>
      <c r="G5" s="63">
        <f t="shared" si="1"/>
        <v>14970.782879999997</v>
      </c>
      <c r="H5" s="63">
        <f>IF(AND(0&lt;(H3-H4)/H3,(H3-H4)/H3&lt;$N$4),H4,H3*(1-$N$5))</f>
        <v>15031.775702591243</v>
      </c>
      <c r="I5" s="63">
        <f>IF(AND(0&lt;(I3-I4)/I3,(I3-I4)/I3&lt;$N$4),I4,I3*(1-$N$5))</f>
        <v>15093.017017491638</v>
      </c>
      <c r="J5" s="63">
        <f>IF(AND(0&lt;(J3-J4)/J3,(J3-J4)/J3&lt;$N$4),J4,J3*(1-$N$5))</f>
        <v>15154.50783708961</v>
      </c>
      <c r="K5" s="63">
        <f>IF(AND(0&lt;(K3-K4)/K3,(K3-K4)/K3&lt;$N$4),K4,K3*(1-$N$5))</f>
        <v>15216.249177898182</v>
      </c>
      <c r="L5" s="89" t="s">
        <v>271</v>
      </c>
      <c r="N5" s="70">
        <f>0.07</f>
        <v>7.0000000000000007E-2</v>
      </c>
      <c r="O5" s="61" t="s">
        <v>270</v>
      </c>
    </row>
    <row r="6" spans="1:15" s="60" customFormat="1" ht="14.45" x14ac:dyDescent="0.3">
      <c r="A6" s="105" t="s">
        <v>171</v>
      </c>
      <c r="B6" s="63">
        <v>0</v>
      </c>
      <c r="C6" s="63">
        <v>0</v>
      </c>
      <c r="D6" s="63">
        <v>0</v>
      </c>
      <c r="E6" s="63">
        <v>0</v>
      </c>
      <c r="F6" s="63">
        <v>0</v>
      </c>
      <c r="G6" s="63">
        <v>0</v>
      </c>
      <c r="H6" s="63">
        <v>0</v>
      </c>
      <c r="I6" s="63">
        <v>0</v>
      </c>
      <c r="J6" s="63">
        <v>0</v>
      </c>
      <c r="K6" s="63">
        <v>0</v>
      </c>
      <c r="L6" s="120" t="s">
        <v>269</v>
      </c>
      <c r="N6" s="65">
        <v>0.05</v>
      </c>
      <c r="O6" s="61" t="s">
        <v>268</v>
      </c>
    </row>
    <row r="7" spans="1:15" s="60" customFormat="1" ht="14.45" x14ac:dyDescent="0.3">
      <c r="A7" s="105" t="s">
        <v>172</v>
      </c>
      <c r="B7" s="63">
        <v>0</v>
      </c>
      <c r="C7" s="63">
        <v>0</v>
      </c>
      <c r="D7" s="63">
        <v>0</v>
      </c>
      <c r="E7" s="63">
        <v>0</v>
      </c>
      <c r="F7" s="63">
        <v>0</v>
      </c>
      <c r="G7" s="63">
        <v>0</v>
      </c>
      <c r="H7" s="63">
        <v>0</v>
      </c>
      <c r="I7" s="63">
        <v>0</v>
      </c>
      <c r="J7" s="63">
        <v>0</v>
      </c>
      <c r="K7" s="63">
        <v>0</v>
      </c>
      <c r="L7" s="120" t="s">
        <v>267</v>
      </c>
      <c r="N7" s="86">
        <v>0.85099999999999998</v>
      </c>
      <c r="O7" s="61" t="s">
        <v>168</v>
      </c>
    </row>
    <row r="8" spans="1:15" s="60" customFormat="1" ht="43.15" x14ac:dyDescent="0.3">
      <c r="A8" s="105" t="s">
        <v>173</v>
      </c>
      <c r="B8" s="63">
        <v>5201</v>
      </c>
      <c r="C8" s="63">
        <v>5201</v>
      </c>
      <c r="D8" s="63">
        <v>5201</v>
      </c>
      <c r="E8" s="63">
        <v>5201</v>
      </c>
      <c r="F8" s="63">
        <v>5201</v>
      </c>
      <c r="G8" s="63">
        <v>5201</v>
      </c>
      <c r="H8" s="67">
        <f>AVERAGE(E8:G8)</f>
        <v>5201</v>
      </c>
      <c r="I8" s="67">
        <f t="shared" ref="I8:K8" si="2">H8</f>
        <v>5201</v>
      </c>
      <c r="J8" s="67">
        <f t="shared" si="2"/>
        <v>5201</v>
      </c>
      <c r="K8" s="67">
        <f t="shared" si="2"/>
        <v>5201</v>
      </c>
      <c r="L8" s="89" t="s">
        <v>266</v>
      </c>
    </row>
    <row r="9" spans="1:15" s="60" customFormat="1" ht="28.9" x14ac:dyDescent="0.3">
      <c r="A9" s="105" t="s">
        <v>153</v>
      </c>
      <c r="B9" s="73">
        <v>0.34</v>
      </c>
      <c r="C9" s="59">
        <v>0.36</v>
      </c>
      <c r="D9" s="59">
        <v>0.37</v>
      </c>
      <c r="E9" s="59">
        <v>0.39</v>
      </c>
      <c r="F9" s="59">
        <v>0.41</v>
      </c>
      <c r="G9" s="59">
        <v>0.42</v>
      </c>
      <c r="H9" s="59">
        <v>0.44</v>
      </c>
      <c r="I9" s="59">
        <v>0.46</v>
      </c>
      <c r="J9" s="59">
        <v>0.48</v>
      </c>
      <c r="K9" s="59">
        <v>0.5</v>
      </c>
      <c r="L9" s="89" t="s">
        <v>248</v>
      </c>
      <c r="N9" s="66">
        <v>4.0741237836483535E-3</v>
      </c>
      <c r="O9" s="89" t="s">
        <v>206</v>
      </c>
    </row>
    <row r="10" spans="1:15" s="60" customFormat="1" ht="15.6" x14ac:dyDescent="0.3">
      <c r="A10" s="105" t="s">
        <v>174</v>
      </c>
      <c r="B10" s="63">
        <f t="shared" ref="B10:K10" si="3">B5*B9</f>
        <v>5095.7043968621028</v>
      </c>
      <c r="C10" s="63">
        <f t="shared" si="3"/>
        <v>5392.1991886548403</v>
      </c>
      <c r="D10" s="63">
        <f t="shared" si="3"/>
        <v>5539.861110974186</v>
      </c>
      <c r="E10" s="63">
        <f t="shared" si="3"/>
        <v>5838.6053231999995</v>
      </c>
      <c r="F10" s="63">
        <f t="shared" si="3"/>
        <v>6138.0209807999981</v>
      </c>
      <c r="G10" s="63">
        <f t="shared" si="3"/>
        <v>6287.7288095999984</v>
      </c>
      <c r="H10" s="63">
        <f t="shared" si="3"/>
        <v>6613.9813091401475</v>
      </c>
      <c r="I10" s="63">
        <f t="shared" si="3"/>
        <v>6942.7878280461537</v>
      </c>
      <c r="J10" s="63">
        <f t="shared" si="3"/>
        <v>7274.1637618030127</v>
      </c>
      <c r="K10" s="63">
        <f t="shared" si="3"/>
        <v>7608.124588949091</v>
      </c>
      <c r="L10" s="89" t="s">
        <v>207</v>
      </c>
      <c r="N10" s="68"/>
      <c r="O10" s="62"/>
    </row>
    <row r="11" spans="1:15" s="60" customFormat="1" ht="28.9" x14ac:dyDescent="0.3">
      <c r="A11" s="105" t="s">
        <v>175</v>
      </c>
      <c r="B11" s="63">
        <f t="shared" ref="B11:K11" si="4">MAX(B3-SUM(B6:B8,B10), B3*$N$6)</f>
        <v>5818.742778539865</v>
      </c>
      <c r="C11" s="63">
        <f t="shared" si="4"/>
        <v>5512.5331549976108</v>
      </c>
      <c r="D11" s="63">
        <f t="shared" si="4"/>
        <v>5358.7061978726215</v>
      </c>
      <c r="E11" s="63">
        <f t="shared" si="4"/>
        <v>5058.0106767999987</v>
      </c>
      <c r="F11" s="63">
        <f t="shared" si="4"/>
        <v>4758.5950192</v>
      </c>
      <c r="G11" s="63">
        <f t="shared" si="4"/>
        <v>4608.8871904000007</v>
      </c>
      <c r="H11" s="63">
        <f t="shared" si="4"/>
        <v>4348.2183710654899</v>
      </c>
      <c r="I11" s="63">
        <f t="shared" si="4"/>
        <v>4085.2627283964684</v>
      </c>
      <c r="J11" s="63">
        <f t="shared" si="4"/>
        <v>3820.0059554976433</v>
      </c>
      <c r="K11" s="63">
        <f t="shared" si="4"/>
        <v>3552.433666855406</v>
      </c>
      <c r="L11" s="89" t="s">
        <v>208</v>
      </c>
      <c r="N11" s="68"/>
      <c r="O11" s="62"/>
    </row>
    <row r="12" spans="1:15" s="60" customFormat="1" ht="43.9" x14ac:dyDescent="0.35">
      <c r="A12" s="105" t="s">
        <v>197</v>
      </c>
      <c r="B12" s="63">
        <f t="shared" ref="B12:K12" si="5">B6*$N$3+B11*$N$2</f>
        <v>2533.4806057762571</v>
      </c>
      <c r="C12" s="63">
        <f t="shared" si="5"/>
        <v>2400.15693568596</v>
      </c>
      <c r="D12" s="63">
        <f t="shared" si="5"/>
        <v>2333.1806785537397</v>
      </c>
      <c r="E12" s="63">
        <f t="shared" si="5"/>
        <v>2202.2578486787193</v>
      </c>
      <c r="F12" s="63">
        <f t="shared" si="5"/>
        <v>2071.8922713596799</v>
      </c>
      <c r="G12" s="63">
        <f t="shared" si="5"/>
        <v>2006.7094827001604</v>
      </c>
      <c r="H12" s="63">
        <f t="shared" si="5"/>
        <v>1893.2142787619143</v>
      </c>
      <c r="I12" s="63">
        <f t="shared" si="5"/>
        <v>1778.7233919438224</v>
      </c>
      <c r="J12" s="63">
        <f t="shared" si="5"/>
        <v>1663.2305930236739</v>
      </c>
      <c r="K12" s="63">
        <f t="shared" si="5"/>
        <v>1546.7296185488437</v>
      </c>
      <c r="L12" s="108" t="s">
        <v>209</v>
      </c>
    </row>
    <row r="13" spans="1:15" s="60" customFormat="1" ht="86.45" x14ac:dyDescent="0.3">
      <c r="A13" s="105"/>
      <c r="B13" s="146" t="s">
        <v>210</v>
      </c>
      <c r="C13" s="147"/>
      <c r="D13" s="147"/>
      <c r="E13" s="147"/>
      <c r="F13" s="147"/>
      <c r="G13" s="147"/>
      <c r="H13" s="147"/>
      <c r="I13" s="147"/>
      <c r="J13" s="148"/>
      <c r="K13" s="87">
        <v>0</v>
      </c>
      <c r="L13" s="108" t="s">
        <v>216</v>
      </c>
    </row>
    <row r="14" spans="1:15" s="60" customFormat="1"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row>
    <row r="15" spans="1:15"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5" s="60" customFormat="1" ht="30" x14ac:dyDescent="0.35">
      <c r="A16" s="105" t="s">
        <v>199</v>
      </c>
      <c r="B16" s="82">
        <f>B12/B3</f>
        <v>0.15720821012297254</v>
      </c>
      <c r="C16" s="82">
        <f t="shared" ref="C16:K16" si="7">C12/C3</f>
        <v>0.14902501075226818</v>
      </c>
      <c r="D16" s="82">
        <f t="shared" si="7"/>
        <v>0.14492194937882852</v>
      </c>
      <c r="E16" s="82">
        <f t="shared" si="7"/>
        <v>0.13680645933402311</v>
      </c>
      <c r="F16" s="82">
        <f t="shared" si="7"/>
        <v>0.12870801933402312</v>
      </c>
      <c r="G16" s="82">
        <f t="shared" si="7"/>
        <v>0.12465879933402316</v>
      </c>
      <c r="H16" s="82">
        <f t="shared" si="7"/>
        <v>0.11713115696271766</v>
      </c>
      <c r="I16" s="82">
        <f t="shared" si="7"/>
        <v>0.10960119852715003</v>
      </c>
      <c r="J16" s="82">
        <f t="shared" si="7"/>
        <v>0.10206893342496547</v>
      </c>
      <c r="K16" s="82">
        <f t="shared" si="7"/>
        <v>9.4534371015677507E-2</v>
      </c>
      <c r="L16" s="89" t="s">
        <v>212</v>
      </c>
    </row>
    <row r="17" spans="1:15"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5" ht="43.9" thickBot="1" x14ac:dyDescent="0.35">
      <c r="A18" s="128" t="s">
        <v>201</v>
      </c>
      <c r="B18" s="84">
        <f t="shared" ref="B18:K18" si="9">B12*(B14/$N$7)-B17</f>
        <v>2432.2604640648674</v>
      </c>
      <c r="C18" s="84">
        <f t="shared" si="9"/>
        <v>2208.3700125054133</v>
      </c>
      <c r="D18" s="84">
        <f t="shared" si="9"/>
        <v>2053.5280002782033</v>
      </c>
      <c r="E18" s="84">
        <f t="shared" si="9"/>
        <v>1850.3106484198406</v>
      </c>
      <c r="F18" s="84">
        <f t="shared" si="9"/>
        <v>1658.0007482913538</v>
      </c>
      <c r="G18" s="84">
        <f t="shared" si="9"/>
        <v>1525.6651413713323</v>
      </c>
      <c r="H18" s="84">
        <f t="shared" si="9"/>
        <v>1365.9618885544246</v>
      </c>
      <c r="I18" s="84">
        <f t="shared" si="9"/>
        <v>1212.290913428222</v>
      </c>
      <c r="J18" s="84">
        <f t="shared" si="9"/>
        <v>1067.1256213759414</v>
      </c>
      <c r="K18" s="84">
        <f t="shared" si="9"/>
        <v>928.76478857633276</v>
      </c>
      <c r="L18" s="93" t="s">
        <v>214</v>
      </c>
      <c r="M18" s="60"/>
      <c r="N18" s="60"/>
      <c r="O18" s="60"/>
    </row>
    <row r="19" spans="1:15" x14ac:dyDescent="0.25">
      <c r="A19" s="85"/>
      <c r="B19" s="85"/>
      <c r="C19" s="85"/>
      <c r="D19" s="85"/>
      <c r="E19" s="85"/>
      <c r="F19" s="85"/>
      <c r="G19" s="85"/>
      <c r="H19" s="85"/>
      <c r="I19" s="85"/>
      <c r="J19" s="85"/>
      <c r="K19" s="85"/>
      <c r="L19" s="60"/>
      <c r="M19" s="60"/>
      <c r="N19" s="60"/>
      <c r="O19" s="60"/>
    </row>
    <row r="20" spans="1:15" x14ac:dyDescent="0.25">
      <c r="A20" s="85"/>
      <c r="B20" s="85"/>
      <c r="C20" s="85"/>
      <c r="D20" s="85"/>
      <c r="E20" s="85"/>
      <c r="F20" s="85"/>
      <c r="G20" s="85"/>
      <c r="H20" s="85"/>
      <c r="I20" s="85"/>
      <c r="J20" s="85"/>
      <c r="K20" s="85"/>
      <c r="L20" s="60"/>
      <c r="M20" s="60"/>
      <c r="N20" s="60"/>
      <c r="O20" s="60"/>
    </row>
  </sheetData>
  <mergeCells count="3">
    <mergeCell ref="B1:L1"/>
    <mergeCell ref="N1:O1"/>
    <mergeCell ref="B13:J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heetViews>
  <sheetFormatPr defaultRowHeight="15" x14ac:dyDescent="0.25"/>
  <cols>
    <col min="1" max="1" width="31" customWidth="1"/>
    <col min="2" max="11" width="10.5703125" bestFit="1" customWidth="1"/>
    <col min="12" max="12" width="49.28515625" style="3" customWidth="1"/>
    <col min="14" max="14" width="8.7109375" customWidth="1"/>
    <col min="15" max="15" width="41.28515625" customWidth="1"/>
    <col min="16" max="17" width="12" customWidth="1"/>
    <col min="18" max="18" width="8.85546875" customWidth="1"/>
    <col min="19" max="19" width="14.28515625" customWidth="1"/>
    <col min="20" max="20" width="10.7109375" bestFit="1" customWidth="1"/>
  </cols>
  <sheetData>
    <row r="1" spans="1:16" s="60" customFormat="1" ht="15.6" x14ac:dyDescent="0.3">
      <c r="A1" s="103" t="s">
        <v>92</v>
      </c>
      <c r="B1" s="141" t="s">
        <v>176</v>
      </c>
      <c r="C1" s="142"/>
      <c r="D1" s="142"/>
      <c r="E1" s="142"/>
      <c r="F1" s="142"/>
      <c r="G1" s="142"/>
      <c r="H1" s="142"/>
      <c r="I1" s="142"/>
      <c r="J1" s="142"/>
      <c r="K1" s="142"/>
      <c r="L1" s="143"/>
      <c r="N1" s="144" t="s">
        <v>196</v>
      </c>
      <c r="O1" s="145"/>
      <c r="P1" s="62"/>
    </row>
    <row r="2" spans="1:16"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6" s="60" customFormat="1" ht="58.15" x14ac:dyDescent="0.35">
      <c r="A3" s="105" t="s">
        <v>169</v>
      </c>
      <c r="B3" s="63">
        <f>SUMIFS('Form 1.5a'!J:J, 'Form 1.5a'!$B:$B, "Burbank")*1000</f>
        <v>1214000</v>
      </c>
      <c r="C3" s="63">
        <f>SUMIFS('Form 1.5a'!K:K, 'Form 1.5a'!$B:$B, "Burbank")*1000</f>
        <v>1225000</v>
      </c>
      <c r="D3" s="63">
        <f>SUMIFS('Form 1.5a'!L:L, 'Form 1.5a'!$B:$B, "Burbank")*1000</f>
        <v>1229000</v>
      </c>
      <c r="E3" s="63">
        <f>SUMIFS('Form 1.5a'!M:M, 'Form 1.5a'!$B:$B, "Burbank")*1000</f>
        <v>1233000</v>
      </c>
      <c r="F3" s="63">
        <f>SUMIFS('Form 1.5a'!N:N, 'Form 1.5a'!$B:$B, "Burbank")*1000</f>
        <v>1238000</v>
      </c>
      <c r="G3" s="63">
        <f>SUMIFS('Form 1.5a'!O:O, 'Form 1.5a'!$B:$B, "Burbank")*1000</f>
        <v>1241000</v>
      </c>
      <c r="H3" s="67">
        <f>AVERAGE(E3:G3)*(1+$N$9)</f>
        <v>1240458.2562863601</v>
      </c>
      <c r="I3" s="67">
        <f t="shared" ref="I3:K4" si="0">H3*(1+$N$9)</f>
        <v>1243591.0713273145</v>
      </c>
      <c r="J3" s="67">
        <f t="shared" si="0"/>
        <v>1246731.7983879044</v>
      </c>
      <c r="K3" s="67">
        <f t="shared" si="0"/>
        <v>1249880.4574501761</v>
      </c>
      <c r="L3" s="89" t="s">
        <v>218</v>
      </c>
      <c r="N3" s="64">
        <v>0.91839999999999999</v>
      </c>
      <c r="O3" s="9" t="s">
        <v>203</v>
      </c>
    </row>
    <row r="4" spans="1:16" s="60" customFormat="1" ht="57.6" x14ac:dyDescent="0.3">
      <c r="A4" s="105" t="s">
        <v>170</v>
      </c>
      <c r="B4" s="63">
        <f>SUMIFS('Form 1.1c'!J:J, 'Form 1.1c'!$B:$B, "City of Burbank")*1000</f>
        <v>1141000</v>
      </c>
      <c r="C4" s="63">
        <f>SUMIFS('Form 1.1c'!K:K, 'Form 1.1c'!$B:$B, "City of Burbank")*1000</f>
        <v>1151000</v>
      </c>
      <c r="D4" s="63">
        <f>SUMIFS('Form 1.1c'!L:L, 'Form 1.1c'!$B:$B, "City of Burbank")*1000</f>
        <v>1156000</v>
      </c>
      <c r="E4" s="63">
        <f>SUMIFS('Form 1.1c'!M:M, 'Form 1.1c'!$B:$B, "City of Burbank")*1000</f>
        <v>1160000</v>
      </c>
      <c r="F4" s="63">
        <f>SUMIFS('Form 1.1c'!N:N, 'Form 1.1c'!$B:$B, "City of Burbank")*1000</f>
        <v>1165000</v>
      </c>
      <c r="G4" s="63">
        <f>SUMIFS('Form 1.1c'!O:O, 'Form 1.1c'!$B:$B, "City of Burbank")*1000</f>
        <v>1167000</v>
      </c>
      <c r="H4" s="67">
        <f>AVERAGE(E4:G4)*(1+$N$9)</f>
        <v>1166939.7173900781</v>
      </c>
      <c r="I4" s="63">
        <f t="shared" si="0"/>
        <v>1169886.8591258037</v>
      </c>
      <c r="J4" s="63">
        <f t="shared" si="0"/>
        <v>1172841.4439575872</v>
      </c>
      <c r="K4" s="63">
        <f t="shared" si="0"/>
        <v>1175803.4906831942</v>
      </c>
      <c r="L4" s="89" t="s">
        <v>222</v>
      </c>
      <c r="N4" s="70">
        <f>0.15</f>
        <v>0.15</v>
      </c>
      <c r="O4" s="89" t="s">
        <v>166</v>
      </c>
    </row>
    <row r="5" spans="1:16" s="60" customFormat="1" ht="28.9" x14ac:dyDescent="0.3">
      <c r="A5" s="105" t="s">
        <v>194</v>
      </c>
      <c r="B5" s="63">
        <f t="shared" ref="B5:K5" si="1">IF(AND(0&lt;(B3-B4)/B3,(B3-B4)/B3&lt;$N$4),B4,B3*(1-$N$5))</f>
        <v>1141000</v>
      </c>
      <c r="C5" s="63">
        <f t="shared" si="1"/>
        <v>1151000</v>
      </c>
      <c r="D5" s="63">
        <f t="shared" si="1"/>
        <v>1156000</v>
      </c>
      <c r="E5" s="63">
        <f t="shared" si="1"/>
        <v>1160000</v>
      </c>
      <c r="F5" s="63">
        <f t="shared" si="1"/>
        <v>1165000</v>
      </c>
      <c r="G5" s="63">
        <f t="shared" si="1"/>
        <v>1167000</v>
      </c>
      <c r="H5" s="63">
        <f t="shared" si="1"/>
        <v>1166939.7173900781</v>
      </c>
      <c r="I5" s="63">
        <f t="shared" si="1"/>
        <v>1169886.8591258037</v>
      </c>
      <c r="J5" s="63">
        <f t="shared" si="1"/>
        <v>1172841.4439575872</v>
      </c>
      <c r="K5" s="63">
        <f t="shared" si="1"/>
        <v>1175803.4906831942</v>
      </c>
      <c r="L5" s="89" t="s">
        <v>223</v>
      </c>
      <c r="N5" s="70">
        <f>0.07</f>
        <v>7.0000000000000007E-2</v>
      </c>
      <c r="O5" s="89" t="s">
        <v>220</v>
      </c>
    </row>
    <row r="6" spans="1:16" s="60" customFormat="1" ht="43.15" x14ac:dyDescent="0.3">
      <c r="A6" s="105" t="s">
        <v>171</v>
      </c>
      <c r="B6" s="63">
        <v>484000</v>
      </c>
      <c r="C6" s="63">
        <v>484000</v>
      </c>
      <c r="D6" s="63">
        <v>484000</v>
      </c>
      <c r="E6" s="63">
        <v>484000</v>
      </c>
      <c r="F6" s="63">
        <f>AVERAGE(C6:E6)</f>
        <v>484000</v>
      </c>
      <c r="G6" s="63">
        <f>F6</f>
        <v>484000</v>
      </c>
      <c r="H6" s="63">
        <f>G6/2</f>
        <v>242000</v>
      </c>
      <c r="I6" s="63">
        <v>0</v>
      </c>
      <c r="J6" s="63">
        <v>0</v>
      </c>
      <c r="K6" s="63">
        <v>0</v>
      </c>
      <c r="L6" s="110" t="s">
        <v>255</v>
      </c>
      <c r="N6" s="65">
        <v>0.05</v>
      </c>
      <c r="O6" s="89" t="s">
        <v>204</v>
      </c>
    </row>
    <row r="7" spans="1:16" s="60" customFormat="1" ht="43.15" x14ac:dyDescent="0.3">
      <c r="A7" s="105" t="s">
        <v>172</v>
      </c>
      <c r="B7" s="63">
        <v>72000</v>
      </c>
      <c r="C7" s="63">
        <v>72000</v>
      </c>
      <c r="D7" s="63">
        <v>72000</v>
      </c>
      <c r="E7" s="63">
        <v>72000</v>
      </c>
      <c r="F7" s="63">
        <f>AVERAGE(C7:E7)</f>
        <v>72000</v>
      </c>
      <c r="G7" s="63">
        <f>F7</f>
        <v>72000</v>
      </c>
      <c r="H7" s="63">
        <f t="shared" ref="H7:K8" si="2">G7</f>
        <v>72000</v>
      </c>
      <c r="I7" s="63">
        <f t="shared" si="2"/>
        <v>72000</v>
      </c>
      <c r="J7" s="63">
        <f t="shared" si="2"/>
        <v>72000</v>
      </c>
      <c r="K7" s="63">
        <f t="shared" si="2"/>
        <v>72000</v>
      </c>
      <c r="L7" s="89" t="s">
        <v>256</v>
      </c>
      <c r="N7" s="86">
        <v>0.85099999999999998</v>
      </c>
      <c r="O7" s="89" t="s">
        <v>168</v>
      </c>
    </row>
    <row r="8" spans="1:16" s="60" customFormat="1" ht="28.9" x14ac:dyDescent="0.3">
      <c r="A8" s="105" t="s">
        <v>173</v>
      </c>
      <c r="B8" s="67">
        <v>21000</v>
      </c>
      <c r="C8" s="67">
        <v>21000</v>
      </c>
      <c r="D8" s="67">
        <v>21000</v>
      </c>
      <c r="E8" s="67">
        <v>21000</v>
      </c>
      <c r="F8" s="63">
        <f>AVERAGE(C8:E8)</f>
        <v>21000</v>
      </c>
      <c r="G8" s="63">
        <f>F8</f>
        <v>21000</v>
      </c>
      <c r="H8" s="63">
        <f t="shared" si="2"/>
        <v>21000</v>
      </c>
      <c r="I8" s="63">
        <f t="shared" si="2"/>
        <v>21000</v>
      </c>
      <c r="J8" s="63">
        <f t="shared" si="2"/>
        <v>21000</v>
      </c>
      <c r="K8" s="63">
        <f t="shared" si="2"/>
        <v>21000</v>
      </c>
      <c r="L8" s="89" t="s">
        <v>251</v>
      </c>
      <c r="O8" s="107"/>
    </row>
    <row r="9" spans="1:16" s="60" customFormat="1" ht="28.9" x14ac:dyDescent="0.3">
      <c r="A9" s="105" t="s">
        <v>153</v>
      </c>
      <c r="B9" s="73">
        <v>0.34</v>
      </c>
      <c r="C9" s="59">
        <v>0.36</v>
      </c>
      <c r="D9" s="59">
        <v>0.37</v>
      </c>
      <c r="E9" s="59">
        <v>0.39</v>
      </c>
      <c r="F9" s="59">
        <v>0.41</v>
      </c>
      <c r="G9" s="59">
        <v>0.42</v>
      </c>
      <c r="H9" s="59">
        <v>0.44</v>
      </c>
      <c r="I9" s="59">
        <v>0.46</v>
      </c>
      <c r="J9" s="59">
        <v>0.48</v>
      </c>
      <c r="K9" s="59">
        <v>0.5</v>
      </c>
      <c r="L9" s="89" t="s">
        <v>248</v>
      </c>
      <c r="N9" s="66">
        <v>2.525530403847176E-3</v>
      </c>
      <c r="O9" s="89" t="s">
        <v>206</v>
      </c>
    </row>
    <row r="10" spans="1:16" s="60" customFormat="1" ht="15.6" x14ac:dyDescent="0.3">
      <c r="A10" s="105" t="s">
        <v>174</v>
      </c>
      <c r="B10" s="63">
        <f>B5*B9</f>
        <v>387940</v>
      </c>
      <c r="C10" s="63">
        <f t="shared" ref="C10:K10" si="3">C5*C9</f>
        <v>414360</v>
      </c>
      <c r="D10" s="63">
        <f t="shared" si="3"/>
        <v>427720</v>
      </c>
      <c r="E10" s="63">
        <f t="shared" si="3"/>
        <v>452400</v>
      </c>
      <c r="F10" s="63">
        <f t="shared" si="3"/>
        <v>477650</v>
      </c>
      <c r="G10" s="63">
        <f t="shared" si="3"/>
        <v>490140</v>
      </c>
      <c r="H10" s="63">
        <f t="shared" si="3"/>
        <v>513453.47565163439</v>
      </c>
      <c r="I10" s="63">
        <f t="shared" si="3"/>
        <v>538147.95519786968</v>
      </c>
      <c r="J10" s="63">
        <f t="shared" si="3"/>
        <v>562963.89309964189</v>
      </c>
      <c r="K10" s="63">
        <f t="shared" si="3"/>
        <v>587901.74534159712</v>
      </c>
      <c r="L10" s="89" t="s">
        <v>207</v>
      </c>
      <c r="N10" s="68"/>
      <c r="O10" s="62"/>
    </row>
    <row r="11" spans="1:16" s="60" customFormat="1" ht="28.9" x14ac:dyDescent="0.3">
      <c r="A11" s="105" t="s">
        <v>175</v>
      </c>
      <c r="B11" s="63">
        <f t="shared" ref="B11:K11" si="4">MAX(B3-SUM(B6:B8,B10), B3*$N$6)</f>
        <v>249060</v>
      </c>
      <c r="C11" s="63">
        <f t="shared" si="4"/>
        <v>233640</v>
      </c>
      <c r="D11" s="63">
        <f t="shared" si="4"/>
        <v>224280</v>
      </c>
      <c r="E11" s="63">
        <f t="shared" si="4"/>
        <v>203600</v>
      </c>
      <c r="F11" s="63">
        <f t="shared" si="4"/>
        <v>183350</v>
      </c>
      <c r="G11" s="63">
        <f t="shared" si="4"/>
        <v>173860</v>
      </c>
      <c r="H11" s="63">
        <f t="shared" si="4"/>
        <v>392004.7806347257</v>
      </c>
      <c r="I11" s="63">
        <f t="shared" si="4"/>
        <v>612443.1161294448</v>
      </c>
      <c r="J11" s="63">
        <f t="shared" si="4"/>
        <v>590767.90528826253</v>
      </c>
      <c r="K11" s="63">
        <f t="shared" si="4"/>
        <v>568978.712108579</v>
      </c>
      <c r="L11" s="89" t="s">
        <v>208</v>
      </c>
      <c r="N11" s="68"/>
      <c r="O11" s="62"/>
    </row>
    <row r="12" spans="1:16" s="60" customFormat="1" ht="43.9" x14ac:dyDescent="0.35">
      <c r="A12" s="105" t="s">
        <v>197</v>
      </c>
      <c r="B12" s="63">
        <f t="shared" ref="B12:K12" si="5">B6*$N$3+B11*$N$2</f>
        <v>552946.32400000002</v>
      </c>
      <c r="C12" s="63">
        <f t="shared" si="5"/>
        <v>546232.45600000001</v>
      </c>
      <c r="D12" s="63">
        <f t="shared" si="5"/>
        <v>542157.11199999996</v>
      </c>
      <c r="E12" s="63">
        <f t="shared" si="5"/>
        <v>533153.04</v>
      </c>
      <c r="F12" s="63">
        <f t="shared" si="5"/>
        <v>524336.18999999994</v>
      </c>
      <c r="G12" s="63">
        <f t="shared" si="5"/>
        <v>520204.24399999995</v>
      </c>
      <c r="H12" s="63">
        <f t="shared" si="5"/>
        <v>392931.68148835958</v>
      </c>
      <c r="I12" s="63">
        <f t="shared" si="5"/>
        <v>266657.73276276025</v>
      </c>
      <c r="J12" s="63">
        <f t="shared" si="5"/>
        <v>257220.34596250951</v>
      </c>
      <c r="K12" s="63">
        <f t="shared" si="5"/>
        <v>247733.3312520753</v>
      </c>
      <c r="L12" s="108" t="s">
        <v>209</v>
      </c>
    </row>
    <row r="13" spans="1:16" s="60" customFormat="1" ht="86.45" x14ac:dyDescent="0.3">
      <c r="A13" s="105"/>
      <c r="B13" s="146" t="s">
        <v>210</v>
      </c>
      <c r="C13" s="147"/>
      <c r="D13" s="147"/>
      <c r="E13" s="147"/>
      <c r="F13" s="147"/>
      <c r="G13" s="147"/>
      <c r="H13" s="147"/>
      <c r="I13" s="147"/>
      <c r="J13" s="148"/>
      <c r="K13" s="87">
        <v>0</v>
      </c>
      <c r="L13" s="108" t="s">
        <v>216</v>
      </c>
    </row>
    <row r="14" spans="1:16"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row>
    <row r="15" spans="1:16"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6" s="60" customFormat="1" ht="30" x14ac:dyDescent="0.35">
      <c r="A16" s="105" t="s">
        <v>199</v>
      </c>
      <c r="B16" s="82">
        <f t="shared" ref="B16:K16" si="7">B12/B3</f>
        <v>0.45547473146622736</v>
      </c>
      <c r="C16" s="82">
        <f t="shared" si="7"/>
        <v>0.44590404571428571</v>
      </c>
      <c r="D16" s="82">
        <f t="shared" si="7"/>
        <v>0.44113678763222131</v>
      </c>
      <c r="E16" s="82">
        <f t="shared" si="7"/>
        <v>0.43240311435523116</v>
      </c>
      <c r="F16" s="82">
        <f t="shared" si="7"/>
        <v>0.42353488691437796</v>
      </c>
      <c r="G16" s="82">
        <f t="shared" si="7"/>
        <v>0.41918150201450438</v>
      </c>
      <c r="H16" s="82">
        <f t="shared" si="7"/>
        <v>0.31676332476088676</v>
      </c>
      <c r="I16" s="82">
        <f t="shared" si="7"/>
        <v>0.21442557679201579</v>
      </c>
      <c r="J16" s="82">
        <f t="shared" si="7"/>
        <v>0.20631570181743189</v>
      </c>
      <c r="K16" s="82">
        <f t="shared" si="7"/>
        <v>0.19820562020584329</v>
      </c>
      <c r="L16" s="89" t="s">
        <v>212</v>
      </c>
    </row>
    <row r="17" spans="1:14"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4" ht="43.9" thickBot="1" x14ac:dyDescent="0.35">
      <c r="A18" s="128" t="s">
        <v>201</v>
      </c>
      <c r="B18" s="84">
        <f t="shared" ref="B18:K18" si="9">B12*(B14/$N$7)-B17</f>
        <v>530854.46146650997</v>
      </c>
      <c r="C18" s="84">
        <f t="shared" si="9"/>
        <v>502585.20922209165</v>
      </c>
      <c r="D18" s="84">
        <f t="shared" si="9"/>
        <v>477174.70844653348</v>
      </c>
      <c r="E18" s="84">
        <f t="shared" si="9"/>
        <v>447948.79388954176</v>
      </c>
      <c r="F18" s="84">
        <f t="shared" si="9"/>
        <v>419592.18024676852</v>
      </c>
      <c r="G18" s="84">
        <f t="shared" si="9"/>
        <v>395501.93403995299</v>
      </c>
      <c r="H18" s="84">
        <f t="shared" si="9"/>
        <v>283501.8242465955</v>
      </c>
      <c r="I18" s="84">
        <f t="shared" si="9"/>
        <v>181740.87544347937</v>
      </c>
      <c r="J18" s="84">
        <f t="shared" si="9"/>
        <v>165032.09035902494</v>
      </c>
      <c r="K18" s="84">
        <f t="shared" si="9"/>
        <v>148756.44215018858</v>
      </c>
      <c r="L18" s="93" t="s">
        <v>214</v>
      </c>
    </row>
    <row r="19" spans="1:14" x14ac:dyDescent="0.25">
      <c r="A19" s="85"/>
      <c r="B19" s="85"/>
      <c r="C19" s="85"/>
      <c r="D19" s="85"/>
      <c r="E19" s="85"/>
      <c r="F19" s="85"/>
      <c r="G19" s="85"/>
      <c r="H19" s="85"/>
      <c r="I19" s="85"/>
      <c r="J19" s="85"/>
      <c r="K19" s="85"/>
    </row>
    <row r="28" spans="1:14" x14ac:dyDescent="0.25">
      <c r="N28" s="2"/>
    </row>
    <row r="29" spans="1:14" x14ac:dyDescent="0.25">
      <c r="N29" s="2"/>
    </row>
  </sheetData>
  <mergeCells count="3">
    <mergeCell ref="B1:L1"/>
    <mergeCell ref="N1:O1"/>
    <mergeCell ref="B13:J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38.7109375" customWidth="1"/>
    <col min="2" max="11" width="8" bestFit="1" customWidth="1"/>
    <col min="12" max="12" width="55" style="3" customWidth="1"/>
    <col min="14" max="14" width="8.7109375" customWidth="1"/>
    <col min="15" max="15" width="50.85546875" customWidth="1"/>
  </cols>
  <sheetData>
    <row r="1" spans="1:18" s="60" customFormat="1" ht="15.6" x14ac:dyDescent="0.3">
      <c r="A1" s="103" t="s">
        <v>14</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v>85066.020375827211</v>
      </c>
      <c r="C3" s="67">
        <f t="shared" ref="C3:G3" si="0">B3*(1+$N$9)</f>
        <v>85415.322769445498</v>
      </c>
      <c r="D3" s="67">
        <f t="shared" si="0"/>
        <v>85766.059486212427</v>
      </c>
      <c r="E3" s="67">
        <f t="shared" si="0"/>
        <v>86118.236415818217</v>
      </c>
      <c r="F3" s="67">
        <f t="shared" si="0"/>
        <v>86471.859472137658</v>
      </c>
      <c r="G3" s="67">
        <f t="shared" si="0"/>
        <v>86826.934593329352</v>
      </c>
      <c r="H3" s="67">
        <f t="shared" ref="H3:K4" si="1">G3*(1+$N$9)</f>
        <v>87183.467741935499</v>
      </c>
      <c r="I3" s="67">
        <f t="shared" si="1"/>
        <v>87541.464904982</v>
      </c>
      <c r="J3" s="67">
        <f t="shared" si="1"/>
        <v>87900.932094078948</v>
      </c>
      <c r="K3" s="67">
        <f t="shared" si="1"/>
        <v>88261.875345521636</v>
      </c>
      <c r="L3" s="89" t="s">
        <v>219</v>
      </c>
      <c r="N3" s="64">
        <v>0.91839999999999999</v>
      </c>
      <c r="O3" s="9" t="s">
        <v>203</v>
      </c>
    </row>
    <row r="4" spans="1:18" s="60" customFormat="1" ht="57.6" x14ac:dyDescent="0.3">
      <c r="A4" s="105" t="s">
        <v>170</v>
      </c>
      <c r="B4" s="63">
        <f>SUMIFS('Form 1.1c'!J:J, 'Form 1.1c'!$B:$B, "City of Cerritos")*1000</f>
        <v>84000</v>
      </c>
      <c r="C4" s="63">
        <f>SUMIFS('Form 1.1c'!K:K, 'Form 1.1c'!$B:$B, "City of Cerritos")*1000</f>
        <v>84000</v>
      </c>
      <c r="D4" s="63">
        <f>SUMIFS('Form 1.1c'!L:L, 'Form 1.1c'!$B:$B, "City of Cerritos")*1000</f>
        <v>85000</v>
      </c>
      <c r="E4" s="63">
        <f>SUMIFS('Form 1.1c'!M:M, 'Form 1.1c'!$B:$B, "City of Cerritos")*1000</f>
        <v>85000</v>
      </c>
      <c r="F4" s="63">
        <f>SUMIFS('Form 1.1c'!N:N, 'Form 1.1c'!$B:$B, "City of Cerritos")*1000</f>
        <v>85000</v>
      </c>
      <c r="G4" s="63">
        <f>SUMIFS('Form 1.1c'!O:O, 'Form 1.1c'!$B:$B, "City of Cerritos")*1000</f>
        <v>85000</v>
      </c>
      <c r="H4" s="67">
        <f>AVERAGE(E4:G4)*(1+$N$9)</f>
        <v>85349.031297413225</v>
      </c>
      <c r="I4" s="63">
        <f t="shared" si="1"/>
        <v>85699.495804786144</v>
      </c>
      <c r="J4" s="63">
        <f t="shared" si="1"/>
        <v>86051.399407237957</v>
      </c>
      <c r="K4" s="63">
        <f t="shared" si="1"/>
        <v>86404.748014053635</v>
      </c>
      <c r="L4" s="89" t="s">
        <v>222</v>
      </c>
      <c r="N4" s="70">
        <f>0.15</f>
        <v>0.15</v>
      </c>
      <c r="O4" s="89" t="s">
        <v>166</v>
      </c>
    </row>
    <row r="5" spans="1:18" s="60" customFormat="1" ht="28.9" x14ac:dyDescent="0.3">
      <c r="A5" s="105" t="s">
        <v>194</v>
      </c>
      <c r="B5" s="63">
        <f>IF(AND(0&lt;(B3-B4)/B3,(B3-B4)/B3&lt;$N$4),B4,B3*(1-$N$5))</f>
        <v>84000</v>
      </c>
      <c r="C5" s="63">
        <f t="shared" ref="C5:K5" si="2">IF(AND(0&lt;(C3-C4)/C3,(C3-C4)/C3&lt;$N$4),C4,C3*(1-$N$5))</f>
        <v>84000</v>
      </c>
      <c r="D5" s="63">
        <f t="shared" si="2"/>
        <v>85000</v>
      </c>
      <c r="E5" s="63">
        <f t="shared" si="2"/>
        <v>85000</v>
      </c>
      <c r="F5" s="63">
        <f t="shared" si="2"/>
        <v>85000</v>
      </c>
      <c r="G5" s="63">
        <f t="shared" si="2"/>
        <v>85000</v>
      </c>
      <c r="H5" s="63">
        <f t="shared" si="2"/>
        <v>85349.031297413225</v>
      </c>
      <c r="I5" s="63">
        <f t="shared" si="2"/>
        <v>85699.495804786144</v>
      </c>
      <c r="J5" s="63">
        <f t="shared" si="2"/>
        <v>86051.399407237957</v>
      </c>
      <c r="K5" s="63">
        <f t="shared" si="2"/>
        <v>86404.748014053635</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14.45" x14ac:dyDescent="0.3">
      <c r="A8" s="105" t="s">
        <v>173</v>
      </c>
      <c r="B8" s="63">
        <v>0</v>
      </c>
      <c r="C8" s="63">
        <v>0</v>
      </c>
      <c r="D8" s="63">
        <v>0</v>
      </c>
      <c r="E8" s="63">
        <v>0</v>
      </c>
      <c r="F8" s="63">
        <v>0</v>
      </c>
      <c r="G8" s="63">
        <v>0</v>
      </c>
      <c r="H8" s="63">
        <v>0</v>
      </c>
      <c r="I8" s="63">
        <v>0</v>
      </c>
      <c r="J8" s="63">
        <v>0</v>
      </c>
      <c r="K8" s="63">
        <v>0</v>
      </c>
      <c r="L8" s="120" t="s">
        <v>246</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4.1062505578026709E-3</v>
      </c>
      <c r="O9" s="89" t="s">
        <v>206</v>
      </c>
    </row>
    <row r="10" spans="1:18" s="60" customFormat="1" ht="15.6" x14ac:dyDescent="0.3">
      <c r="A10" s="105" t="s">
        <v>174</v>
      </c>
      <c r="B10" s="63">
        <f>B5*B9</f>
        <v>28560.000000000004</v>
      </c>
      <c r="C10" s="63">
        <f t="shared" ref="C10:K10" si="3">C5*C9</f>
        <v>30240</v>
      </c>
      <c r="D10" s="63">
        <f t="shared" si="3"/>
        <v>31450</v>
      </c>
      <c r="E10" s="63">
        <f t="shared" si="3"/>
        <v>33150</v>
      </c>
      <c r="F10" s="63">
        <f t="shared" si="3"/>
        <v>34850</v>
      </c>
      <c r="G10" s="63">
        <f t="shared" si="3"/>
        <v>35700</v>
      </c>
      <c r="H10" s="63">
        <f t="shared" si="3"/>
        <v>37553.573770861818</v>
      </c>
      <c r="I10" s="63">
        <f t="shared" si="3"/>
        <v>39421.76807020163</v>
      </c>
      <c r="J10" s="63">
        <f t="shared" si="3"/>
        <v>41304.671715474215</v>
      </c>
      <c r="K10" s="63">
        <f t="shared" si="3"/>
        <v>43202.374007026818</v>
      </c>
      <c r="L10" s="89" t="s">
        <v>207</v>
      </c>
      <c r="N10" s="68"/>
      <c r="O10" s="62"/>
    </row>
    <row r="11" spans="1:18" s="60" customFormat="1" ht="28.9" x14ac:dyDescent="0.3">
      <c r="A11" s="105" t="s">
        <v>175</v>
      </c>
      <c r="B11" s="63">
        <f t="shared" ref="B11:K11" si="4">MAX(B3-SUM(B6:B8,B10), B3*$N$6)</f>
        <v>56506.020375827211</v>
      </c>
      <c r="C11" s="63">
        <f t="shared" si="4"/>
        <v>55175.322769445498</v>
      </c>
      <c r="D11" s="63">
        <f t="shared" si="4"/>
        <v>54316.059486212427</v>
      </c>
      <c r="E11" s="63">
        <f t="shared" si="4"/>
        <v>52968.236415818217</v>
      </c>
      <c r="F11" s="63">
        <f t="shared" si="4"/>
        <v>51621.859472137658</v>
      </c>
      <c r="G11" s="63">
        <f t="shared" si="4"/>
        <v>51126.934593329352</v>
      </c>
      <c r="H11" s="63">
        <f t="shared" si="4"/>
        <v>49629.893971073681</v>
      </c>
      <c r="I11" s="63">
        <f t="shared" si="4"/>
        <v>48119.69683478037</v>
      </c>
      <c r="J11" s="63">
        <f t="shared" si="4"/>
        <v>46596.260378604733</v>
      </c>
      <c r="K11" s="63">
        <f t="shared" si="4"/>
        <v>45059.501338494818</v>
      </c>
      <c r="L11" s="89" t="s">
        <v>208</v>
      </c>
      <c r="N11" s="68"/>
      <c r="O11" s="62"/>
    </row>
    <row r="12" spans="1:18" s="60" customFormat="1" ht="43.9" x14ac:dyDescent="0.35">
      <c r="A12" s="105" t="s">
        <v>197</v>
      </c>
      <c r="B12" s="63">
        <f t="shared" ref="B12:K12" si="5">B6*$N$3+B11*$N$2</f>
        <v>24602.721271635168</v>
      </c>
      <c r="C12" s="63">
        <f t="shared" si="5"/>
        <v>24023.335533816571</v>
      </c>
      <c r="D12" s="63">
        <f t="shared" si="5"/>
        <v>23649.212300296891</v>
      </c>
      <c r="E12" s="63">
        <f t="shared" si="5"/>
        <v>23062.370135447251</v>
      </c>
      <c r="F12" s="63">
        <f t="shared" si="5"/>
        <v>22476.157614168736</v>
      </c>
      <c r="G12" s="63">
        <f t="shared" si="5"/>
        <v>22260.667321935602</v>
      </c>
      <c r="H12" s="63">
        <f t="shared" si="5"/>
        <v>21608.855835005481</v>
      </c>
      <c r="I12" s="63">
        <f t="shared" si="5"/>
        <v>20951.316001863375</v>
      </c>
      <c r="J12" s="63">
        <f t="shared" si="5"/>
        <v>20288.011768844503</v>
      </c>
      <c r="K12" s="63">
        <f t="shared" si="5"/>
        <v>19618.906882780644</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8" s="60" customFormat="1" ht="30" x14ac:dyDescent="0.35">
      <c r="A16" s="105" t="s">
        <v>199</v>
      </c>
      <c r="B16" s="82">
        <f t="shared" ref="B16:K16" si="7">B12/B3</f>
        <v>0.28921914018004774</v>
      </c>
      <c r="C16" s="82">
        <f t="shared" si="7"/>
        <v>0.28125323132783531</v>
      </c>
      <c r="D16" s="82">
        <f t="shared" si="7"/>
        <v>0.27574092178151999</v>
      </c>
      <c r="E16" s="82">
        <f t="shared" si="7"/>
        <v>0.26779891339264755</v>
      </c>
      <c r="F16" s="82">
        <f t="shared" si="7"/>
        <v>0.25992453211221672</v>
      </c>
      <c r="G16" s="82">
        <f t="shared" si="7"/>
        <v>0.25637974467482605</v>
      </c>
      <c r="H16" s="82">
        <f t="shared" si="7"/>
        <v>0.24785497061172251</v>
      </c>
      <c r="I16" s="82">
        <f t="shared" si="7"/>
        <v>0.23933019654861901</v>
      </c>
      <c r="J16" s="82">
        <f t="shared" si="7"/>
        <v>0.23080542248551553</v>
      </c>
      <c r="K16" s="82">
        <f t="shared" si="7"/>
        <v>0.22228064842241196</v>
      </c>
      <c r="L16" s="89" t="s">
        <v>212</v>
      </c>
    </row>
    <row r="17" spans="1:18"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8" ht="43.9" thickBot="1" x14ac:dyDescent="0.35">
      <c r="A18" s="128" t="s">
        <v>201</v>
      </c>
      <c r="B18" s="84">
        <f t="shared" ref="B18:K18" si="9">B12*(B14/$N$7)-B17</f>
        <v>23619.768835400624</v>
      </c>
      <c r="C18" s="84">
        <f t="shared" si="9"/>
        <v>22103.727054028644</v>
      </c>
      <c r="D18" s="84">
        <f t="shared" si="9"/>
        <v>20814.641613304786</v>
      </c>
      <c r="E18" s="84">
        <f t="shared" si="9"/>
        <v>19376.726964564965</v>
      </c>
      <c r="F18" s="84">
        <f t="shared" si="9"/>
        <v>17986.208384546313</v>
      </c>
      <c r="G18" s="84">
        <f t="shared" si="9"/>
        <v>16924.385143704272</v>
      </c>
      <c r="H18" s="84">
        <f t="shared" si="9"/>
        <v>15590.878358041557</v>
      </c>
      <c r="I18" s="84">
        <f t="shared" si="9"/>
        <v>14279.39280973062</v>
      </c>
      <c r="J18" s="84">
        <f t="shared" si="9"/>
        <v>13016.750206567685</v>
      </c>
      <c r="K18" s="84">
        <f t="shared" si="9"/>
        <v>11780.565707521633</v>
      </c>
      <c r="L18" s="93" t="s">
        <v>214</v>
      </c>
      <c r="N18" s="60"/>
      <c r="O18" s="60"/>
      <c r="P18" s="60"/>
      <c r="Q18" s="60"/>
      <c r="R18" s="60"/>
    </row>
    <row r="19" spans="1:18" ht="14.45" x14ac:dyDescent="0.3">
      <c r="A19" s="85"/>
      <c r="B19" s="85"/>
      <c r="C19" s="85"/>
      <c r="D19" s="85"/>
      <c r="E19" s="85"/>
      <c r="F19" s="85"/>
      <c r="G19" s="85"/>
      <c r="H19" s="85"/>
      <c r="I19" s="85"/>
      <c r="J19" s="85"/>
      <c r="K19" s="85"/>
    </row>
  </sheetData>
  <mergeCells count="3">
    <mergeCell ref="B1:L1"/>
    <mergeCell ref="N1:O1"/>
    <mergeCell ref="B13:J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heetViews>
  <sheetFormatPr defaultRowHeight="15" x14ac:dyDescent="0.25"/>
  <cols>
    <col min="1" max="1" width="33.42578125" customWidth="1"/>
    <col min="2" max="11" width="9" bestFit="1" customWidth="1"/>
    <col min="12" max="12" width="51.28515625" style="3" customWidth="1"/>
    <col min="14" max="14" width="8.7109375" customWidth="1"/>
    <col min="15" max="15" width="46.5703125" customWidth="1"/>
  </cols>
  <sheetData>
    <row r="1" spans="1:18" s="60" customFormat="1" ht="15.6" x14ac:dyDescent="0.3">
      <c r="A1" s="103" t="s">
        <v>66</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v>383309.53759710089</v>
      </c>
      <c r="C3" s="67">
        <f t="shared" ref="C3:G3" si="0">B3*(1+$N$9)</f>
        <v>384883.50259967009</v>
      </c>
      <c r="D3" s="67">
        <f t="shared" si="0"/>
        <v>386463.93069690902</v>
      </c>
      <c r="E3" s="67">
        <f t="shared" si="0"/>
        <v>388050.84842790384</v>
      </c>
      <c r="F3" s="67">
        <f t="shared" si="0"/>
        <v>389644.28244071669</v>
      </c>
      <c r="G3" s="67">
        <f t="shared" si="0"/>
        <v>391244.25949283352</v>
      </c>
      <c r="H3" s="67">
        <f t="shared" ref="H3:K4" si="1">G3*(1+$N$9)</f>
        <v>392850.80645161308</v>
      </c>
      <c r="I3" s="67">
        <f t="shared" si="1"/>
        <v>394463.95029473823</v>
      </c>
      <c r="J3" s="67">
        <f t="shared" si="1"/>
        <v>396083.71811066906</v>
      </c>
      <c r="K3" s="67">
        <f t="shared" si="1"/>
        <v>397710.13709909754</v>
      </c>
      <c r="L3" s="89" t="s">
        <v>225</v>
      </c>
      <c r="N3" s="64">
        <v>0.91839999999999999</v>
      </c>
      <c r="O3" s="9" t="s">
        <v>203</v>
      </c>
    </row>
    <row r="4" spans="1:18" s="60" customFormat="1" ht="62.25" customHeight="1" x14ac:dyDescent="0.3">
      <c r="A4" s="105" t="s">
        <v>170</v>
      </c>
      <c r="B4" s="63">
        <f>SUMIFS('Form 1.1c'!J:J, 'Form 1.1c'!$B:$B, "City of Colton")*1000</f>
        <v>369000</v>
      </c>
      <c r="C4" s="63">
        <f>SUMIFS('Form 1.1c'!K:K, 'Form 1.1c'!$B:$B, "City of Colton")*1000</f>
        <v>371000</v>
      </c>
      <c r="D4" s="63">
        <f>SUMIFS('Form 1.1c'!L:L, 'Form 1.1c'!$B:$B, "City of Colton")*1000</f>
        <v>372000</v>
      </c>
      <c r="E4" s="63">
        <f>SUMIFS('Form 1.1c'!M:M, 'Form 1.1c'!$B:$B, "City of Colton")*1000</f>
        <v>373000</v>
      </c>
      <c r="F4" s="63">
        <f>SUMIFS('Form 1.1c'!N:N, 'Form 1.1c'!$B:$B, "City of Colton")*1000</f>
        <v>374000</v>
      </c>
      <c r="G4" s="63">
        <f>SUMIFS('Form 1.1c'!O:O, 'Form 1.1c'!$B:$B, "City of Colton")*1000</f>
        <v>374000</v>
      </c>
      <c r="H4" s="67">
        <f>AVERAGE(E4:G4)*(1+$N$9)</f>
        <v>375201.03562509897</v>
      </c>
      <c r="I4" s="63">
        <f t="shared" si="1"/>
        <v>376741.70508692268</v>
      </c>
      <c r="J4" s="63">
        <f t="shared" si="1"/>
        <v>378288.70092358341</v>
      </c>
      <c r="K4" s="63">
        <f t="shared" si="1"/>
        <v>379842.04911276133</v>
      </c>
      <c r="L4" s="89" t="s">
        <v>222</v>
      </c>
      <c r="N4" s="70">
        <f>0.15</f>
        <v>0.15</v>
      </c>
      <c r="O4" s="89" t="s">
        <v>166</v>
      </c>
    </row>
    <row r="5" spans="1:18" s="60" customFormat="1" ht="28.9" x14ac:dyDescent="0.3">
      <c r="A5" s="105" t="s">
        <v>194</v>
      </c>
      <c r="B5" s="63">
        <f t="shared" ref="B5:K5" si="2">IF(AND(0&lt;(B3-B4)/B3,(B3-B4)/B3&lt;$N$4),B4,B3*(1-$N$5))</f>
        <v>369000</v>
      </c>
      <c r="C5" s="63">
        <f t="shared" si="2"/>
        <v>371000</v>
      </c>
      <c r="D5" s="63">
        <f t="shared" si="2"/>
        <v>372000</v>
      </c>
      <c r="E5" s="63">
        <f t="shared" si="2"/>
        <v>373000</v>
      </c>
      <c r="F5" s="63">
        <f t="shared" si="2"/>
        <v>374000</v>
      </c>
      <c r="G5" s="63">
        <f t="shared" si="2"/>
        <v>374000</v>
      </c>
      <c r="H5" s="63">
        <f t="shared" si="2"/>
        <v>375201.03562509897</v>
      </c>
      <c r="I5" s="63">
        <f t="shared" si="2"/>
        <v>376741.70508692268</v>
      </c>
      <c r="J5" s="63">
        <f t="shared" si="2"/>
        <v>378288.70092358341</v>
      </c>
      <c r="K5" s="63">
        <f t="shared" si="2"/>
        <v>379842.04911276133</v>
      </c>
      <c r="L5" s="89" t="s">
        <v>223</v>
      </c>
      <c r="N5" s="70">
        <f>0.07</f>
        <v>7.0000000000000007E-2</v>
      </c>
      <c r="O5" s="89" t="s">
        <v>220</v>
      </c>
    </row>
    <row r="6" spans="1:18" s="60" customFormat="1" ht="28.9" x14ac:dyDescent="0.3">
      <c r="A6" s="105" t="s">
        <v>171</v>
      </c>
      <c r="B6" s="63">
        <v>0</v>
      </c>
      <c r="C6" s="63">
        <v>0</v>
      </c>
      <c r="D6" s="63">
        <v>0</v>
      </c>
      <c r="E6" s="63">
        <v>0</v>
      </c>
      <c r="F6" s="63">
        <v>0</v>
      </c>
      <c r="G6" s="63">
        <v>0</v>
      </c>
      <c r="H6" s="63">
        <v>0</v>
      </c>
      <c r="I6" s="63">
        <v>0</v>
      </c>
      <c r="J6" s="63">
        <v>0</v>
      </c>
      <c r="K6" s="63">
        <v>0</v>
      </c>
      <c r="L6" s="120" t="s">
        <v>259</v>
      </c>
      <c r="N6" s="65">
        <v>0.05</v>
      </c>
      <c r="O6" s="89" t="s">
        <v>204</v>
      </c>
    </row>
    <row r="7" spans="1:18" s="60" customFormat="1" ht="28.9" x14ac:dyDescent="0.3">
      <c r="A7" s="105" t="s">
        <v>172</v>
      </c>
      <c r="B7" s="63">
        <v>18441.666666666668</v>
      </c>
      <c r="C7" s="63">
        <f>B7</f>
        <v>18441.666666666668</v>
      </c>
      <c r="D7" s="63">
        <f t="shared" ref="D7:K7" si="3">C7</f>
        <v>18441.666666666668</v>
      </c>
      <c r="E7" s="63">
        <f t="shared" si="3"/>
        <v>18441.666666666668</v>
      </c>
      <c r="F7" s="63">
        <f t="shared" si="3"/>
        <v>18441.666666666668</v>
      </c>
      <c r="G7" s="63">
        <f t="shared" si="3"/>
        <v>18441.666666666668</v>
      </c>
      <c r="H7" s="63">
        <f t="shared" si="3"/>
        <v>18441.666666666668</v>
      </c>
      <c r="I7" s="63">
        <f t="shared" si="3"/>
        <v>18441.666666666668</v>
      </c>
      <c r="J7" s="63">
        <f t="shared" si="3"/>
        <v>18441.666666666668</v>
      </c>
      <c r="K7" s="63">
        <f t="shared" si="3"/>
        <v>18441.666666666668</v>
      </c>
      <c r="L7" s="89" t="s">
        <v>260</v>
      </c>
      <c r="N7" s="86">
        <v>0.85099999999999998</v>
      </c>
      <c r="O7" s="89" t="s">
        <v>168</v>
      </c>
    </row>
    <row r="8" spans="1:18" s="60" customFormat="1" ht="14.45" x14ac:dyDescent="0.3">
      <c r="A8" s="105" t="s">
        <v>173</v>
      </c>
      <c r="B8" s="67">
        <v>3362</v>
      </c>
      <c r="C8" s="67">
        <f>B8</f>
        <v>3362</v>
      </c>
      <c r="D8" s="67">
        <f t="shared" ref="D8:K8" si="4">C8</f>
        <v>3362</v>
      </c>
      <c r="E8" s="67">
        <f t="shared" si="4"/>
        <v>3362</v>
      </c>
      <c r="F8" s="67">
        <f t="shared" si="4"/>
        <v>3362</v>
      </c>
      <c r="G8" s="67">
        <f t="shared" si="4"/>
        <v>3362</v>
      </c>
      <c r="H8" s="67">
        <f t="shared" si="4"/>
        <v>3362</v>
      </c>
      <c r="I8" s="67">
        <f t="shared" si="4"/>
        <v>3362</v>
      </c>
      <c r="J8" s="67">
        <f t="shared" si="4"/>
        <v>3362</v>
      </c>
      <c r="K8" s="67">
        <f t="shared" si="4"/>
        <v>3362</v>
      </c>
      <c r="L8" s="89" t="s">
        <v>258</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4.1062505578026709E-3</v>
      </c>
      <c r="O9" s="89" t="s">
        <v>206</v>
      </c>
    </row>
    <row r="10" spans="1:18" s="60" customFormat="1" ht="15.6" x14ac:dyDescent="0.3">
      <c r="A10" s="105" t="s">
        <v>174</v>
      </c>
      <c r="B10" s="63">
        <f>B5*B9</f>
        <v>125460.00000000001</v>
      </c>
      <c r="C10" s="63">
        <f t="shared" ref="C10:K10" si="5">C5*C9</f>
        <v>133560</v>
      </c>
      <c r="D10" s="63">
        <f t="shared" si="5"/>
        <v>137640</v>
      </c>
      <c r="E10" s="63">
        <f t="shared" si="5"/>
        <v>145470</v>
      </c>
      <c r="F10" s="63">
        <f t="shared" si="5"/>
        <v>153340</v>
      </c>
      <c r="G10" s="63">
        <f t="shared" si="5"/>
        <v>157080</v>
      </c>
      <c r="H10" s="63">
        <f t="shared" si="5"/>
        <v>165088.45567504354</v>
      </c>
      <c r="I10" s="63">
        <f t="shared" si="5"/>
        <v>173301.18433998444</v>
      </c>
      <c r="J10" s="63">
        <f t="shared" si="5"/>
        <v>181578.57644332002</v>
      </c>
      <c r="K10" s="63">
        <f t="shared" si="5"/>
        <v>189921.02455638067</v>
      </c>
      <c r="L10" s="89" t="s">
        <v>207</v>
      </c>
      <c r="N10" s="68"/>
      <c r="O10" s="62"/>
    </row>
    <row r="11" spans="1:18" s="60" customFormat="1" ht="28.9" x14ac:dyDescent="0.3">
      <c r="A11" s="105" t="s">
        <v>175</v>
      </c>
      <c r="B11" s="63">
        <f t="shared" ref="B11:K11" si="6">MAX(B3-SUM(B6:B8,B10), B3*$N$6)</f>
        <v>236045.8709304342</v>
      </c>
      <c r="C11" s="63">
        <f t="shared" si="6"/>
        <v>229519.83593300343</v>
      </c>
      <c r="D11" s="63">
        <f t="shared" si="6"/>
        <v>227020.26403024237</v>
      </c>
      <c r="E11" s="63">
        <f t="shared" si="6"/>
        <v>220777.18176123718</v>
      </c>
      <c r="F11" s="63">
        <f t="shared" si="6"/>
        <v>214500.61577405003</v>
      </c>
      <c r="G11" s="63">
        <f t="shared" si="6"/>
        <v>212360.59282616686</v>
      </c>
      <c r="H11" s="63">
        <f t="shared" si="6"/>
        <v>205958.68410990288</v>
      </c>
      <c r="I11" s="63">
        <f t="shared" si="6"/>
        <v>199359.09928808713</v>
      </c>
      <c r="J11" s="63">
        <f t="shared" si="6"/>
        <v>192701.47500068237</v>
      </c>
      <c r="K11" s="63">
        <f t="shared" si="6"/>
        <v>185985.44587605022</v>
      </c>
      <c r="L11" s="89" t="s">
        <v>208</v>
      </c>
      <c r="N11" s="68"/>
      <c r="O11" s="62"/>
    </row>
    <row r="12" spans="1:18" s="60" customFormat="1" ht="43.9" x14ac:dyDescent="0.35">
      <c r="A12" s="105" t="s">
        <v>197</v>
      </c>
      <c r="B12" s="63">
        <f t="shared" ref="B12:K12" si="7">B6*$N$3+B11*$N$2</f>
        <v>102774.37220311105</v>
      </c>
      <c r="C12" s="63">
        <f t="shared" si="7"/>
        <v>99932.936565229698</v>
      </c>
      <c r="D12" s="63">
        <f t="shared" si="7"/>
        <v>98844.622958767533</v>
      </c>
      <c r="E12" s="63">
        <f t="shared" si="7"/>
        <v>96126.384938842675</v>
      </c>
      <c r="F12" s="63">
        <f t="shared" si="7"/>
        <v>93393.568108021384</v>
      </c>
      <c r="G12" s="63">
        <f t="shared" si="7"/>
        <v>92461.802116513049</v>
      </c>
      <c r="H12" s="63">
        <f t="shared" si="7"/>
        <v>89674.411061451712</v>
      </c>
      <c r="I12" s="63">
        <f t="shared" si="7"/>
        <v>86800.95183003314</v>
      </c>
      <c r="J12" s="63">
        <f t="shared" si="7"/>
        <v>83902.222215297108</v>
      </c>
      <c r="K12" s="63">
        <f t="shared" si="7"/>
        <v>80978.063134432261</v>
      </c>
      <c r="L12" s="108" t="s">
        <v>209</v>
      </c>
    </row>
    <row r="13" spans="1:18" s="60" customFormat="1" ht="86.45" customHeight="1"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8">$K$13*B14</f>
        <v>0</v>
      </c>
      <c r="C15" s="88">
        <f t="shared" si="8"/>
        <v>0</v>
      </c>
      <c r="D15" s="88">
        <f t="shared" si="8"/>
        <v>0</v>
      </c>
      <c r="E15" s="88">
        <f t="shared" si="8"/>
        <v>0</v>
      </c>
      <c r="F15" s="88">
        <f t="shared" si="8"/>
        <v>0</v>
      </c>
      <c r="G15" s="88">
        <f t="shared" si="8"/>
        <v>0</v>
      </c>
      <c r="H15" s="88">
        <f t="shared" si="8"/>
        <v>0</v>
      </c>
      <c r="I15" s="88">
        <f t="shared" si="8"/>
        <v>0</v>
      </c>
      <c r="J15" s="88">
        <f t="shared" si="8"/>
        <v>0</v>
      </c>
      <c r="K15" s="88">
        <f t="shared" si="8"/>
        <v>0</v>
      </c>
      <c r="L15" s="108" t="s">
        <v>211</v>
      </c>
    </row>
    <row r="16" spans="1:18" s="60" customFormat="1" ht="30" x14ac:dyDescent="0.35">
      <c r="A16" s="105" t="s">
        <v>199</v>
      </c>
      <c r="B16" s="82">
        <f t="shared" ref="B16:K16" si="9">B12/B3</f>
        <v>0.26812370192347745</v>
      </c>
      <c r="C16" s="82">
        <f t="shared" si="9"/>
        <v>0.25964463503953616</v>
      </c>
      <c r="D16" s="82">
        <f t="shared" si="9"/>
        <v>0.25576674847901426</v>
      </c>
      <c r="E16" s="82">
        <f t="shared" si="9"/>
        <v>0.24771595095920024</v>
      </c>
      <c r="F16" s="82">
        <f t="shared" si="9"/>
        <v>0.23968930718810422</v>
      </c>
      <c r="G16" s="82">
        <f t="shared" si="9"/>
        <v>0.2363275623171327</v>
      </c>
      <c r="H16" s="82">
        <f t="shared" si="9"/>
        <v>0.22826581895408884</v>
      </c>
      <c r="I16" s="82">
        <f t="shared" si="9"/>
        <v>0.22004786943186219</v>
      </c>
      <c r="J16" s="82">
        <f t="shared" si="9"/>
        <v>0.21182951577891959</v>
      </c>
      <c r="K16" s="82">
        <f t="shared" si="9"/>
        <v>0.2036107596479366</v>
      </c>
      <c r="L16" s="89" t="s">
        <v>212</v>
      </c>
    </row>
    <row r="17" spans="1:18" s="60" customFormat="1" ht="30.6" thickBot="1" x14ac:dyDescent="0.4">
      <c r="A17" s="105" t="s">
        <v>200</v>
      </c>
      <c r="B17" s="81">
        <f>B15*B16</f>
        <v>0</v>
      </c>
      <c r="C17" s="81">
        <f t="shared" ref="C17:K17" si="10">C15*C16</f>
        <v>0</v>
      </c>
      <c r="D17" s="81">
        <f t="shared" si="10"/>
        <v>0</v>
      </c>
      <c r="E17" s="81">
        <f t="shared" si="10"/>
        <v>0</v>
      </c>
      <c r="F17" s="81">
        <f t="shared" si="10"/>
        <v>0</v>
      </c>
      <c r="G17" s="81">
        <f t="shared" si="10"/>
        <v>0</v>
      </c>
      <c r="H17" s="81">
        <f t="shared" si="10"/>
        <v>0</v>
      </c>
      <c r="I17" s="81">
        <f t="shared" si="10"/>
        <v>0</v>
      </c>
      <c r="J17" s="81">
        <f t="shared" si="10"/>
        <v>0</v>
      </c>
      <c r="K17" s="81">
        <f t="shared" si="10"/>
        <v>0</v>
      </c>
      <c r="L17" s="89" t="s">
        <v>213</v>
      </c>
    </row>
    <row r="18" spans="1:18" ht="43.9" thickBot="1" x14ac:dyDescent="0.35">
      <c r="A18" s="128" t="s">
        <v>201</v>
      </c>
      <c r="B18" s="84">
        <f t="shared" ref="B18:K18" si="11">B12*(B14/$N$7)-B17</f>
        <v>98668.228072786995</v>
      </c>
      <c r="C18" s="84">
        <f t="shared" si="11"/>
        <v>91947.696040628507</v>
      </c>
      <c r="D18" s="84">
        <f t="shared" si="11"/>
        <v>86997.206340912904</v>
      </c>
      <c r="E18" s="84">
        <f t="shared" si="11"/>
        <v>80764.23646448004</v>
      </c>
      <c r="F18" s="84">
        <f t="shared" si="11"/>
        <v>74736.803621107611</v>
      </c>
      <c r="G18" s="84">
        <f t="shared" si="11"/>
        <v>70297.045792460573</v>
      </c>
      <c r="H18" s="84">
        <f t="shared" si="11"/>
        <v>64700.456394513923</v>
      </c>
      <c r="I18" s="84">
        <f t="shared" si="11"/>
        <v>59159.285618588976</v>
      </c>
      <c r="J18" s="84">
        <f t="shared" si="11"/>
        <v>53831.508025325769</v>
      </c>
      <c r="K18" s="84">
        <f t="shared" si="11"/>
        <v>48624.90042502337</v>
      </c>
      <c r="L18" s="93" t="s">
        <v>214</v>
      </c>
      <c r="N18" s="60"/>
      <c r="O18" s="60"/>
      <c r="P18" s="60"/>
      <c r="Q18" s="60"/>
      <c r="R18" s="60"/>
    </row>
    <row r="19" spans="1:18" ht="14.45" x14ac:dyDescent="0.3">
      <c r="A19" s="85"/>
      <c r="B19" s="85"/>
      <c r="C19" s="85"/>
      <c r="D19" s="85"/>
      <c r="E19" s="85"/>
      <c r="F19" s="85"/>
      <c r="G19" s="85"/>
      <c r="H19" s="85"/>
      <c r="I19" s="85"/>
      <c r="J19" s="85"/>
      <c r="K19" s="85"/>
    </row>
    <row r="20" spans="1:18" ht="14.45" x14ac:dyDescent="0.3">
      <c r="B20" s="1"/>
      <c r="C20" s="1"/>
      <c r="D20" s="1"/>
    </row>
    <row r="21" spans="1:18" x14ac:dyDescent="0.25">
      <c r="B21" s="1"/>
      <c r="C21" s="1"/>
      <c r="D21" s="1"/>
    </row>
    <row r="22" spans="1:18" x14ac:dyDescent="0.25">
      <c r="B22" s="1"/>
      <c r="C22" s="1"/>
      <c r="D22" s="1"/>
    </row>
    <row r="24" spans="1:18" x14ac:dyDescent="0.25">
      <c r="B24" s="1"/>
      <c r="C24" s="1"/>
      <c r="D24" s="1"/>
    </row>
    <row r="25" spans="1:18" x14ac:dyDescent="0.25">
      <c r="B25" s="1"/>
      <c r="C25" s="1"/>
      <c r="D25" s="1"/>
    </row>
    <row r="26" spans="1:18" x14ac:dyDescent="0.25">
      <c r="B26" s="1"/>
      <c r="C26" s="1"/>
      <c r="D26" s="1"/>
    </row>
    <row r="27" spans="1:18" x14ac:dyDescent="0.25">
      <c r="B27" s="1"/>
      <c r="C27" s="1"/>
      <c r="D27" s="1"/>
    </row>
    <row r="28" spans="1:18" x14ac:dyDescent="0.25">
      <c r="B28" s="1"/>
      <c r="C28" s="1"/>
      <c r="D28" s="1"/>
    </row>
    <row r="29" spans="1:18" x14ac:dyDescent="0.25">
      <c r="B29" s="1"/>
      <c r="C29" s="1"/>
      <c r="D29" s="1"/>
    </row>
    <row r="30" spans="1:18" x14ac:dyDescent="0.25">
      <c r="B30" s="1"/>
      <c r="C30" s="1"/>
      <c r="D30" s="1"/>
    </row>
    <row r="32" spans="1:18" x14ac:dyDescent="0.25">
      <c r="B32" s="1"/>
      <c r="C32" s="1"/>
      <c r="D32" s="1"/>
    </row>
    <row r="33" spans="2:4" x14ac:dyDescent="0.25">
      <c r="B33" s="1"/>
      <c r="C33" s="1"/>
      <c r="D33" s="1"/>
    </row>
    <row r="34" spans="2:4" x14ac:dyDescent="0.25">
      <c r="B34" s="1"/>
      <c r="C34" s="1"/>
      <c r="D34" s="1"/>
    </row>
    <row r="35" spans="2:4" x14ac:dyDescent="0.25">
      <c r="B35" s="1"/>
      <c r="C35" s="1"/>
      <c r="D35" s="1"/>
    </row>
    <row r="36" spans="2:4" x14ac:dyDescent="0.25">
      <c r="B36" s="1"/>
      <c r="C36" s="1"/>
      <c r="D36" s="1"/>
    </row>
    <row r="37" spans="2:4" x14ac:dyDescent="0.25">
      <c r="B37" s="1"/>
      <c r="C37" s="1"/>
    </row>
    <row r="39" spans="2:4" x14ac:dyDescent="0.25">
      <c r="B39" s="1"/>
      <c r="C39" s="1"/>
    </row>
  </sheetData>
  <mergeCells count="3">
    <mergeCell ref="B1:L1"/>
    <mergeCell ref="N1:O1"/>
    <mergeCell ref="B13:J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35.42578125" customWidth="1"/>
    <col min="2" max="11" width="9" bestFit="1" customWidth="1"/>
    <col min="12" max="12" width="55.140625" style="3" customWidth="1"/>
    <col min="14" max="14" width="8.7109375" customWidth="1"/>
    <col min="15" max="15" width="52.5703125" customWidth="1"/>
  </cols>
  <sheetData>
    <row r="1" spans="1:18" s="60" customFormat="1" ht="15.6" x14ac:dyDescent="0.3">
      <c r="A1" s="103" t="s">
        <v>182</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v>155441.92478313806</v>
      </c>
      <c r="C3" s="67">
        <f t="shared" ref="C3:G3" si="0">B3*(1+$N$9)</f>
        <v>156080.20827348475</v>
      </c>
      <c r="D3" s="67">
        <f t="shared" si="0"/>
        <v>156721.1127157697</v>
      </c>
      <c r="E3" s="67">
        <f t="shared" si="0"/>
        <v>157364.64887227828</v>
      </c>
      <c r="F3" s="67">
        <f t="shared" si="0"/>
        <v>158010.82754948849</v>
      </c>
      <c r="G3" s="67">
        <f t="shared" si="0"/>
        <v>158659.65959825244</v>
      </c>
      <c r="H3" s="67">
        <f t="shared" ref="H3:K4" si="1">G3*(1+$N$9)</f>
        <v>159311.15591397855</v>
      </c>
      <c r="I3" s="67">
        <f t="shared" si="1"/>
        <v>159965.32743681452</v>
      </c>
      <c r="J3" s="67">
        <f t="shared" si="1"/>
        <v>160622.18515183101</v>
      </c>
      <c r="K3" s="67">
        <f t="shared" si="1"/>
        <v>161281.7400892062</v>
      </c>
      <c r="L3" s="89" t="s">
        <v>219</v>
      </c>
      <c r="N3" s="64">
        <v>0.91839999999999999</v>
      </c>
      <c r="O3" s="9" t="s">
        <v>203</v>
      </c>
    </row>
    <row r="4" spans="1:18" s="60" customFormat="1" ht="57.6" x14ac:dyDescent="0.3">
      <c r="A4" s="105" t="s">
        <v>170</v>
      </c>
      <c r="B4" s="63">
        <f>SUMIFS('Form 1.1c'!J:J, 'Form 1.1c'!$B:$B, "City of Corona")*1000</f>
        <v>154000</v>
      </c>
      <c r="C4" s="63">
        <f>SUMIFS('Form 1.1c'!K:K, 'Form 1.1c'!$B:$B, "City of Corona")*1000</f>
        <v>155000</v>
      </c>
      <c r="D4" s="63">
        <f>SUMIFS('Form 1.1c'!L:L, 'Form 1.1c'!$B:$B, "City of Corona")*1000</f>
        <v>155000</v>
      </c>
      <c r="E4" s="63">
        <f>SUMIFS('Form 1.1c'!M:M, 'Form 1.1c'!$B:$B, "City of Corona")*1000</f>
        <v>156000</v>
      </c>
      <c r="F4" s="63">
        <f>SUMIFS('Form 1.1c'!N:N, 'Form 1.1c'!$B:$B, "City of Corona")*1000</f>
        <v>156000</v>
      </c>
      <c r="G4" s="63">
        <f>SUMIFS('Form 1.1c'!O:O, 'Form 1.1c'!$B:$B, "City of Corona")*1000</f>
        <v>156000</v>
      </c>
      <c r="H4" s="67">
        <f>AVERAGE(E4:G4)*(1+$N$9)</f>
        <v>156640.57508701721</v>
      </c>
      <c r="I4" s="63">
        <f t="shared" si="1"/>
        <v>157283.78053584279</v>
      </c>
      <c r="J4" s="63">
        <f t="shared" si="1"/>
        <v>157929.62714740139</v>
      </c>
      <c r="K4" s="63">
        <f t="shared" si="1"/>
        <v>158578.12576696897</v>
      </c>
      <c r="L4" s="89" t="s">
        <v>222</v>
      </c>
      <c r="N4" s="70">
        <f>0.15</f>
        <v>0.15</v>
      </c>
      <c r="O4" s="89" t="s">
        <v>166</v>
      </c>
    </row>
    <row r="5" spans="1:18" s="60" customFormat="1" ht="28.9" x14ac:dyDescent="0.3">
      <c r="A5" s="105" t="s">
        <v>194</v>
      </c>
      <c r="B5" s="63">
        <f t="shared" ref="B5:K5" si="2">IF(AND(0&lt;(B3-B4)/B3,(B3-B4)/B3&lt;$N$4),B4,B3*(1-$N$5))</f>
        <v>154000</v>
      </c>
      <c r="C5" s="63">
        <f t="shared" si="2"/>
        <v>155000</v>
      </c>
      <c r="D5" s="63">
        <f t="shared" si="2"/>
        <v>155000</v>
      </c>
      <c r="E5" s="63">
        <f t="shared" si="2"/>
        <v>156000</v>
      </c>
      <c r="F5" s="63">
        <f t="shared" si="2"/>
        <v>156000</v>
      </c>
      <c r="G5" s="63">
        <f t="shared" si="2"/>
        <v>156000</v>
      </c>
      <c r="H5" s="63">
        <f t="shared" si="2"/>
        <v>156640.57508701721</v>
      </c>
      <c r="I5" s="63">
        <f t="shared" si="2"/>
        <v>157283.78053584279</v>
      </c>
      <c r="J5" s="63">
        <f t="shared" si="2"/>
        <v>157929.62714740139</v>
      </c>
      <c r="K5" s="63">
        <f t="shared" si="2"/>
        <v>158578.12576696897</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14.45" x14ac:dyDescent="0.3">
      <c r="A8" s="105" t="s">
        <v>173</v>
      </c>
      <c r="B8" s="67">
        <v>9000</v>
      </c>
      <c r="C8" s="67">
        <f>B8</f>
        <v>9000</v>
      </c>
      <c r="D8" s="67">
        <f t="shared" ref="D8:K8" si="3">C8</f>
        <v>9000</v>
      </c>
      <c r="E8" s="67">
        <f t="shared" si="3"/>
        <v>9000</v>
      </c>
      <c r="F8" s="67">
        <f t="shared" si="3"/>
        <v>9000</v>
      </c>
      <c r="G8" s="67">
        <f t="shared" si="3"/>
        <v>9000</v>
      </c>
      <c r="H8" s="67">
        <f t="shared" si="3"/>
        <v>9000</v>
      </c>
      <c r="I8" s="67">
        <f t="shared" si="3"/>
        <v>9000</v>
      </c>
      <c r="J8" s="67">
        <f t="shared" si="3"/>
        <v>9000</v>
      </c>
      <c r="K8" s="67">
        <f t="shared" si="3"/>
        <v>9000</v>
      </c>
      <c r="L8" s="89" t="s">
        <v>258</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4.1062505578026709E-3</v>
      </c>
      <c r="O9" s="89" t="s">
        <v>206</v>
      </c>
    </row>
    <row r="10" spans="1:18" s="60" customFormat="1" ht="15.6" x14ac:dyDescent="0.3">
      <c r="A10" s="105" t="s">
        <v>174</v>
      </c>
      <c r="B10" s="63">
        <f>B5*B9</f>
        <v>52360.000000000007</v>
      </c>
      <c r="C10" s="63">
        <f t="shared" ref="C10:K10" si="4">C5*C9</f>
        <v>55800</v>
      </c>
      <c r="D10" s="63">
        <f t="shared" si="4"/>
        <v>57350</v>
      </c>
      <c r="E10" s="63">
        <f t="shared" si="4"/>
        <v>60840</v>
      </c>
      <c r="F10" s="63">
        <f t="shared" si="4"/>
        <v>63959.999999999993</v>
      </c>
      <c r="G10" s="63">
        <f t="shared" si="4"/>
        <v>65520</v>
      </c>
      <c r="H10" s="63">
        <f t="shared" si="4"/>
        <v>68921.853038287576</v>
      </c>
      <c r="I10" s="63">
        <f t="shared" si="4"/>
        <v>72350.539046487684</v>
      </c>
      <c r="J10" s="63">
        <f t="shared" si="4"/>
        <v>75806.221030752669</v>
      </c>
      <c r="K10" s="63">
        <f t="shared" si="4"/>
        <v>79289.062883484483</v>
      </c>
      <c r="L10" s="89" t="s">
        <v>207</v>
      </c>
      <c r="N10" s="68"/>
      <c r="O10" s="62"/>
    </row>
    <row r="11" spans="1:18" s="60" customFormat="1" ht="28.9" x14ac:dyDescent="0.3">
      <c r="A11" s="105" t="s">
        <v>175</v>
      </c>
      <c r="B11" s="63">
        <f t="shared" ref="B11:K11" si="5">MAX(B3-SUM(B6:B8,B10), B3*$N$6)</f>
        <v>94081.924783138064</v>
      </c>
      <c r="C11" s="63">
        <f t="shared" si="5"/>
        <v>91280.20827348475</v>
      </c>
      <c r="D11" s="63">
        <f t="shared" si="5"/>
        <v>90371.112715769705</v>
      </c>
      <c r="E11" s="63">
        <f t="shared" si="5"/>
        <v>87524.648872278281</v>
      </c>
      <c r="F11" s="63">
        <f t="shared" si="5"/>
        <v>85050.827549488487</v>
      </c>
      <c r="G11" s="63">
        <f t="shared" si="5"/>
        <v>84139.659598252445</v>
      </c>
      <c r="H11" s="63">
        <f t="shared" si="5"/>
        <v>81389.302875690977</v>
      </c>
      <c r="I11" s="63">
        <f t="shared" si="5"/>
        <v>78614.788390326838</v>
      </c>
      <c r="J11" s="63">
        <f t="shared" si="5"/>
        <v>75815.964121078345</v>
      </c>
      <c r="K11" s="63">
        <f t="shared" si="5"/>
        <v>72992.677205721717</v>
      </c>
      <c r="L11" s="89" t="s">
        <v>208</v>
      </c>
      <c r="N11" s="68"/>
      <c r="O11" s="62"/>
    </row>
    <row r="12" spans="1:18" s="60" customFormat="1" ht="43.9" x14ac:dyDescent="0.35">
      <c r="A12" s="105" t="s">
        <v>197</v>
      </c>
      <c r="B12" s="63">
        <f t="shared" ref="B12:K12" si="6">B6*$N$3+B11*$N$2</f>
        <v>40963.270050578314</v>
      </c>
      <c r="C12" s="63">
        <f t="shared" si="6"/>
        <v>39743.402682275264</v>
      </c>
      <c r="D12" s="63">
        <f t="shared" si="6"/>
        <v>39347.582476446129</v>
      </c>
      <c r="E12" s="63">
        <f t="shared" si="6"/>
        <v>38108.232118989967</v>
      </c>
      <c r="F12" s="63">
        <f t="shared" si="6"/>
        <v>37031.130315047289</v>
      </c>
      <c r="G12" s="63">
        <f t="shared" si="6"/>
        <v>36634.407789079116</v>
      </c>
      <c r="H12" s="63">
        <f t="shared" si="6"/>
        <v>35436.902472075853</v>
      </c>
      <c r="I12" s="63">
        <f t="shared" si="6"/>
        <v>34228.878865148305</v>
      </c>
      <c r="J12" s="63">
        <f t="shared" si="6"/>
        <v>33010.270778317514</v>
      </c>
      <c r="K12" s="63">
        <f t="shared" si="6"/>
        <v>31781.011655371236</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7">$K$13*B14</f>
        <v>0</v>
      </c>
      <c r="C15" s="88">
        <f t="shared" si="7"/>
        <v>0</v>
      </c>
      <c r="D15" s="88">
        <f t="shared" si="7"/>
        <v>0</v>
      </c>
      <c r="E15" s="88">
        <f t="shared" si="7"/>
        <v>0</v>
      </c>
      <c r="F15" s="88">
        <f t="shared" si="7"/>
        <v>0</v>
      </c>
      <c r="G15" s="88">
        <f t="shared" si="7"/>
        <v>0</v>
      </c>
      <c r="H15" s="88">
        <f t="shared" si="7"/>
        <v>0</v>
      </c>
      <c r="I15" s="88">
        <f t="shared" si="7"/>
        <v>0</v>
      </c>
      <c r="J15" s="88">
        <f t="shared" si="7"/>
        <v>0</v>
      </c>
      <c r="K15" s="88">
        <f t="shared" si="7"/>
        <v>0</v>
      </c>
      <c r="L15" s="108" t="s">
        <v>211</v>
      </c>
    </row>
    <row r="16" spans="1:18" s="60" customFormat="1" ht="30" x14ac:dyDescent="0.35">
      <c r="A16" s="105" t="s">
        <v>199</v>
      </c>
      <c r="B16" s="82">
        <f t="shared" ref="B16:K16" si="8">B12/B3</f>
        <v>0.26352781019488447</v>
      </c>
      <c r="C16" s="82">
        <f t="shared" si="8"/>
        <v>0.25463448006576606</v>
      </c>
      <c r="D16" s="82">
        <f t="shared" si="8"/>
        <v>0.25106752877518884</v>
      </c>
      <c r="E16" s="82">
        <f t="shared" si="8"/>
        <v>0.24216513932503173</v>
      </c>
      <c r="F16" s="82">
        <f t="shared" si="8"/>
        <v>0.23435818221665383</v>
      </c>
      <c r="G16" s="82">
        <f t="shared" si="8"/>
        <v>0.23089932174216404</v>
      </c>
      <c r="H16" s="82">
        <f t="shared" si="8"/>
        <v>0.22243829861613909</v>
      </c>
      <c r="I16" s="82">
        <f t="shared" si="8"/>
        <v>0.21397686244644817</v>
      </c>
      <c r="J16" s="82">
        <f t="shared" si="8"/>
        <v>0.20551501492221613</v>
      </c>
      <c r="K16" s="82">
        <f t="shared" si="8"/>
        <v>0.19705275772566014</v>
      </c>
      <c r="L16" s="89" t="s">
        <v>212</v>
      </c>
    </row>
    <row r="17" spans="1:18" s="60" customFormat="1" ht="30.6" thickBot="1" x14ac:dyDescent="0.4">
      <c r="A17" s="105" t="s">
        <v>200</v>
      </c>
      <c r="B17" s="81">
        <f>B15*B16</f>
        <v>0</v>
      </c>
      <c r="C17" s="81">
        <f t="shared" ref="C17:K17" si="9">C15*C16</f>
        <v>0</v>
      </c>
      <c r="D17" s="81">
        <f t="shared" si="9"/>
        <v>0</v>
      </c>
      <c r="E17" s="81">
        <f t="shared" si="9"/>
        <v>0</v>
      </c>
      <c r="F17" s="81">
        <f t="shared" si="9"/>
        <v>0</v>
      </c>
      <c r="G17" s="81">
        <f t="shared" si="9"/>
        <v>0</v>
      </c>
      <c r="H17" s="81">
        <f t="shared" si="9"/>
        <v>0</v>
      </c>
      <c r="I17" s="81">
        <f t="shared" si="9"/>
        <v>0</v>
      </c>
      <c r="J17" s="81">
        <f t="shared" si="9"/>
        <v>0</v>
      </c>
      <c r="K17" s="81">
        <f t="shared" si="9"/>
        <v>0</v>
      </c>
      <c r="L17" s="89" t="s">
        <v>213</v>
      </c>
    </row>
    <row r="18" spans="1:18" ht="43.9" thickBot="1" x14ac:dyDescent="0.35">
      <c r="A18" s="128" t="s">
        <v>201</v>
      </c>
      <c r="B18" s="84">
        <f t="shared" ref="B18:K18" si="10">B12*(B14/$N$7)-B17</f>
        <v>39326.664666653916</v>
      </c>
      <c r="C18" s="84">
        <f t="shared" si="10"/>
        <v>36567.666627757382</v>
      </c>
      <c r="D18" s="84">
        <f t="shared" si="10"/>
        <v>34631.421004533666</v>
      </c>
      <c r="E18" s="84">
        <f t="shared" si="10"/>
        <v>32018.079864956318</v>
      </c>
      <c r="F18" s="84">
        <f t="shared" si="10"/>
        <v>29633.607220384496</v>
      </c>
      <c r="G18" s="84">
        <f t="shared" si="10"/>
        <v>27852.481597572489</v>
      </c>
      <c r="H18" s="84">
        <f t="shared" si="10"/>
        <v>25567.870878795035</v>
      </c>
      <c r="I18" s="84">
        <f t="shared" si="10"/>
        <v>23328.730601393672</v>
      </c>
      <c r="J18" s="84">
        <f t="shared" si="10"/>
        <v>21179.327667404661</v>
      </c>
      <c r="K18" s="84">
        <f t="shared" si="10"/>
        <v>19083.545189065455</v>
      </c>
      <c r="L18" s="93" t="s">
        <v>214</v>
      </c>
      <c r="N18" s="60"/>
      <c r="O18" s="60"/>
      <c r="P18" s="60"/>
      <c r="Q18" s="60"/>
      <c r="R18" s="60"/>
    </row>
    <row r="19" spans="1:18" ht="14.45" x14ac:dyDescent="0.3">
      <c r="A19" s="85"/>
      <c r="B19" s="85"/>
      <c r="C19" s="85"/>
      <c r="D19" s="85"/>
      <c r="E19" s="85"/>
      <c r="F19" s="85"/>
      <c r="G19" s="85"/>
      <c r="H19" s="85"/>
      <c r="I19" s="85"/>
      <c r="J19" s="85"/>
      <c r="K19" s="85"/>
      <c r="N19" s="60"/>
      <c r="O19" s="60"/>
      <c r="P19" s="60"/>
      <c r="Q19" s="60"/>
      <c r="R19" s="60"/>
    </row>
  </sheetData>
  <mergeCells count="3">
    <mergeCell ref="B1:L1"/>
    <mergeCell ref="N1:O1"/>
    <mergeCell ref="B13:J1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heetViews>
  <sheetFormatPr defaultRowHeight="15" x14ac:dyDescent="0.25"/>
  <cols>
    <col min="1" max="1" width="27.85546875" customWidth="1"/>
    <col min="2" max="11" width="10.5703125" bestFit="1" customWidth="1"/>
    <col min="12" max="12" width="42.42578125" style="3" customWidth="1"/>
    <col min="14" max="14" width="8.7109375" customWidth="1"/>
    <col min="15" max="15" width="40.85546875" customWidth="1"/>
    <col min="16" max="17" width="12" customWidth="1"/>
    <col min="18" max="18" width="9.140625" customWidth="1"/>
    <col min="19" max="19" width="14.28515625" customWidth="1"/>
    <col min="20" max="20" width="10.7109375" bestFit="1" customWidth="1"/>
  </cols>
  <sheetData>
    <row r="1" spans="1:16" s="60" customFormat="1" ht="15.6" x14ac:dyDescent="0.3">
      <c r="A1" s="103" t="s">
        <v>93</v>
      </c>
      <c r="B1" s="141" t="s">
        <v>176</v>
      </c>
      <c r="C1" s="142"/>
      <c r="D1" s="142"/>
      <c r="E1" s="142"/>
      <c r="F1" s="142"/>
      <c r="G1" s="142"/>
      <c r="H1" s="142"/>
      <c r="I1" s="142"/>
      <c r="J1" s="142"/>
      <c r="K1" s="142"/>
      <c r="L1" s="143"/>
      <c r="N1" s="144" t="s">
        <v>196</v>
      </c>
      <c r="O1" s="145"/>
      <c r="P1" s="62"/>
    </row>
    <row r="2" spans="1:16"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6" s="60" customFormat="1" ht="72.599999999999994" x14ac:dyDescent="0.35">
      <c r="A3" s="105" t="s">
        <v>169</v>
      </c>
      <c r="B3" s="63">
        <f>SUMIFS('Form 1.5a'!J:J, 'Form 1.5a'!$B:$B, "Glendale")*1000</f>
        <v>1192000</v>
      </c>
      <c r="C3" s="63">
        <f>SUMIFS('Form 1.5a'!K:K, 'Form 1.5a'!$B:$B, "Glendale")*1000</f>
        <v>1203000</v>
      </c>
      <c r="D3" s="63">
        <f>SUMIFS('Form 1.5a'!L:L, 'Form 1.5a'!$B:$B, "Glendale")*1000</f>
        <v>1208000</v>
      </c>
      <c r="E3" s="63">
        <f>SUMIFS('Form 1.5a'!M:M, 'Form 1.5a'!$B:$B, "Glendale")*1000</f>
        <v>1212000</v>
      </c>
      <c r="F3" s="63">
        <f>SUMIFS('Form 1.5a'!N:N, 'Form 1.5a'!$B:$B, "Glendale")*1000</f>
        <v>1217000</v>
      </c>
      <c r="G3" s="63">
        <f>SUMIFS('Form 1.5a'!O:O, 'Form 1.5a'!$B:$B, "Glendale")*1000</f>
        <v>1219000</v>
      </c>
      <c r="H3" s="67">
        <f>AVERAGE(E3:G3)*(1+$N$9)</f>
        <v>1219041.4936418489</v>
      </c>
      <c r="I3" s="67">
        <f t="shared" ref="I3:K4" si="0">H3*(1+$N$9)</f>
        <v>1222090.5947537418</v>
      </c>
      <c r="J3" s="67">
        <f t="shared" si="0"/>
        <v>1225147.3223636982</v>
      </c>
      <c r="K3" s="67">
        <f t="shared" si="0"/>
        <v>1228211.6955473309</v>
      </c>
      <c r="L3" s="89" t="s">
        <v>218</v>
      </c>
      <c r="N3" s="64">
        <v>0.91839999999999999</v>
      </c>
      <c r="O3" s="9" t="s">
        <v>203</v>
      </c>
    </row>
    <row r="4" spans="1:16" s="60" customFormat="1" ht="72" x14ac:dyDescent="0.3">
      <c r="A4" s="105" t="s">
        <v>170</v>
      </c>
      <c r="B4" s="63">
        <f>SUMIFS('Form 1.1c'!J:J, 'Form 1.1c'!$B:$B, "City of Glendale")*1000</f>
        <v>1121000</v>
      </c>
      <c r="C4" s="63">
        <f>SUMIFS('Form 1.1c'!K:K, 'Form 1.1c'!$B:$B, "City of Glendale")*1000</f>
        <v>1131000</v>
      </c>
      <c r="D4" s="63">
        <f>SUMIFS('Form 1.1c'!L:L, 'Form 1.1c'!$B:$B, "City of Glendale")*1000</f>
        <v>1136000</v>
      </c>
      <c r="E4" s="63">
        <f>SUMIFS('Form 1.1c'!M:M, 'Form 1.1c'!$B:$B, "City of Glendale")*1000</f>
        <v>1139000</v>
      </c>
      <c r="F4" s="63">
        <f>SUMIFS('Form 1.1c'!N:N, 'Form 1.1c'!$B:$B, "City of Glendale")*1000</f>
        <v>1144000</v>
      </c>
      <c r="G4" s="63">
        <f>SUMIFS('Form 1.1c'!O:O, 'Form 1.1c'!$B:$B, "City of Glendale")*1000</f>
        <v>1146000</v>
      </c>
      <c r="H4" s="67">
        <f>AVERAGE(E4:G4)*(1+$N$9)</f>
        <v>1145858.903974205</v>
      </c>
      <c r="I4" s="63">
        <f t="shared" si="0"/>
        <v>1148724.9587200058</v>
      </c>
      <c r="J4" s="63">
        <f t="shared" si="0"/>
        <v>1151598.1821231146</v>
      </c>
      <c r="K4" s="63">
        <f t="shared" si="0"/>
        <v>1154478.5921139801</v>
      </c>
      <c r="L4" s="89" t="s">
        <v>222</v>
      </c>
      <c r="N4" s="70">
        <f>0.15</f>
        <v>0.15</v>
      </c>
      <c r="O4" s="89" t="s">
        <v>166</v>
      </c>
    </row>
    <row r="5" spans="1:16" s="60" customFormat="1" ht="28.9" x14ac:dyDescent="0.3">
      <c r="A5" s="105" t="s">
        <v>194</v>
      </c>
      <c r="B5" s="63">
        <f t="shared" ref="B5:K5" si="1">IF(AND(0&lt;(B3-B4)/B3,(B3-B4)/B3&lt;$N$4),B4,B3*(1-$N$5))</f>
        <v>1121000</v>
      </c>
      <c r="C5" s="63">
        <f t="shared" si="1"/>
        <v>1131000</v>
      </c>
      <c r="D5" s="63">
        <f t="shared" si="1"/>
        <v>1136000</v>
      </c>
      <c r="E5" s="63">
        <f t="shared" si="1"/>
        <v>1139000</v>
      </c>
      <c r="F5" s="63">
        <f t="shared" si="1"/>
        <v>1144000</v>
      </c>
      <c r="G5" s="63">
        <f t="shared" si="1"/>
        <v>1146000</v>
      </c>
      <c r="H5" s="63">
        <f t="shared" si="1"/>
        <v>1145858.903974205</v>
      </c>
      <c r="I5" s="63">
        <f t="shared" si="1"/>
        <v>1148724.9587200058</v>
      </c>
      <c r="J5" s="63">
        <f t="shared" si="1"/>
        <v>1151598.1821231146</v>
      </c>
      <c r="K5" s="63">
        <f t="shared" si="1"/>
        <v>1154478.5921139801</v>
      </c>
      <c r="L5" s="89" t="s">
        <v>223</v>
      </c>
      <c r="N5" s="70">
        <f>0.07</f>
        <v>7.0000000000000007E-2</v>
      </c>
      <c r="O5" s="89" t="s">
        <v>220</v>
      </c>
    </row>
    <row r="6" spans="1:16" s="60" customFormat="1" ht="57.6" x14ac:dyDescent="0.3">
      <c r="A6" s="105" t="s">
        <v>171</v>
      </c>
      <c r="B6" s="63">
        <v>253000</v>
      </c>
      <c r="C6" s="63">
        <v>253000</v>
      </c>
      <c r="D6" s="63">
        <v>253000</v>
      </c>
      <c r="E6" s="63">
        <v>253000</v>
      </c>
      <c r="F6" s="63">
        <f>AVERAGE(C6:E6)</f>
        <v>253000</v>
      </c>
      <c r="G6" s="63">
        <f>F6</f>
        <v>253000</v>
      </c>
      <c r="H6" s="63">
        <f>G6/2</f>
        <v>126500</v>
      </c>
      <c r="I6" s="63">
        <v>0</v>
      </c>
      <c r="J6" s="63">
        <v>0</v>
      </c>
      <c r="K6" s="63">
        <v>0</v>
      </c>
      <c r="L6" s="110" t="s">
        <v>255</v>
      </c>
      <c r="N6" s="65">
        <v>0.05</v>
      </c>
      <c r="O6" s="89" t="s">
        <v>204</v>
      </c>
    </row>
    <row r="7" spans="1:16" s="60" customFormat="1" ht="43.15" x14ac:dyDescent="0.3">
      <c r="A7" s="105" t="s">
        <v>172</v>
      </c>
      <c r="B7" s="63">
        <v>76000</v>
      </c>
      <c r="C7" s="63">
        <v>76000</v>
      </c>
      <c r="D7" s="63">
        <v>76000</v>
      </c>
      <c r="E7" s="63">
        <v>76000</v>
      </c>
      <c r="F7" s="63">
        <f>AVERAGE(C7:E7)</f>
        <v>76000</v>
      </c>
      <c r="G7" s="63">
        <f>F7</f>
        <v>76000</v>
      </c>
      <c r="H7" s="63">
        <f t="shared" ref="H7:K8" si="2">G7</f>
        <v>76000</v>
      </c>
      <c r="I7" s="63">
        <f t="shared" si="2"/>
        <v>76000</v>
      </c>
      <c r="J7" s="63">
        <f t="shared" si="2"/>
        <v>76000</v>
      </c>
      <c r="K7" s="63">
        <f t="shared" si="2"/>
        <v>76000</v>
      </c>
      <c r="L7" s="89" t="s">
        <v>256</v>
      </c>
      <c r="N7" s="86">
        <v>0.85099999999999998</v>
      </c>
      <c r="O7" s="89" t="s">
        <v>168</v>
      </c>
    </row>
    <row r="8" spans="1:16" s="60" customFormat="1" ht="28.9" x14ac:dyDescent="0.3">
      <c r="A8" s="105" t="s">
        <v>173</v>
      </c>
      <c r="B8" s="67">
        <v>54000</v>
      </c>
      <c r="C8" s="67">
        <v>54000</v>
      </c>
      <c r="D8" s="67">
        <v>54000</v>
      </c>
      <c r="E8" s="67">
        <v>54000</v>
      </c>
      <c r="F8" s="63">
        <f>AVERAGE(C8:E8)</f>
        <v>54000</v>
      </c>
      <c r="G8" s="63">
        <f>F8</f>
        <v>54000</v>
      </c>
      <c r="H8" s="63">
        <f t="shared" si="2"/>
        <v>54000</v>
      </c>
      <c r="I8" s="63">
        <f t="shared" si="2"/>
        <v>54000</v>
      </c>
      <c r="J8" s="63">
        <f t="shared" si="2"/>
        <v>54000</v>
      </c>
      <c r="K8" s="63">
        <f t="shared" si="2"/>
        <v>54000</v>
      </c>
      <c r="L8" s="89" t="s">
        <v>251</v>
      </c>
      <c r="O8" s="107"/>
    </row>
    <row r="9" spans="1:16" s="60" customFormat="1" ht="43.15" x14ac:dyDescent="0.3">
      <c r="A9" s="105" t="s">
        <v>153</v>
      </c>
      <c r="B9" s="73">
        <v>0.34</v>
      </c>
      <c r="C9" s="59">
        <v>0.36</v>
      </c>
      <c r="D9" s="59">
        <v>0.37</v>
      </c>
      <c r="E9" s="59">
        <v>0.39</v>
      </c>
      <c r="F9" s="59">
        <v>0.41</v>
      </c>
      <c r="G9" s="59">
        <v>0.42</v>
      </c>
      <c r="H9" s="59">
        <v>0.44</v>
      </c>
      <c r="I9" s="59">
        <v>0.46</v>
      </c>
      <c r="J9" s="59">
        <v>0.48</v>
      </c>
      <c r="K9" s="59">
        <v>0.5</v>
      </c>
      <c r="L9" s="89" t="s">
        <v>248</v>
      </c>
      <c r="N9" s="66">
        <v>2.5012283238889932E-3</v>
      </c>
      <c r="O9" s="89" t="s">
        <v>206</v>
      </c>
    </row>
    <row r="10" spans="1:16" s="60" customFormat="1" ht="28.9" x14ac:dyDescent="0.3">
      <c r="A10" s="105" t="s">
        <v>174</v>
      </c>
      <c r="B10" s="63">
        <f>B5*B9</f>
        <v>381140</v>
      </c>
      <c r="C10" s="63">
        <f t="shared" ref="C10:K10" si="3">C5*C9</f>
        <v>407160</v>
      </c>
      <c r="D10" s="63">
        <f t="shared" si="3"/>
        <v>420320</v>
      </c>
      <c r="E10" s="63">
        <f t="shared" si="3"/>
        <v>444210</v>
      </c>
      <c r="F10" s="63">
        <f t="shared" si="3"/>
        <v>469040</v>
      </c>
      <c r="G10" s="63">
        <f t="shared" si="3"/>
        <v>481320</v>
      </c>
      <c r="H10" s="63">
        <f t="shared" si="3"/>
        <v>504177.91774865019</v>
      </c>
      <c r="I10" s="63">
        <f t="shared" si="3"/>
        <v>528413.48101120268</v>
      </c>
      <c r="J10" s="63">
        <f t="shared" si="3"/>
        <v>552767.12741909502</v>
      </c>
      <c r="K10" s="63">
        <f t="shared" si="3"/>
        <v>577239.29605699005</v>
      </c>
      <c r="L10" s="89" t="s">
        <v>207</v>
      </c>
      <c r="N10" s="68"/>
      <c r="O10" s="62"/>
    </row>
    <row r="11" spans="1:16" s="60" customFormat="1" ht="28.9" x14ac:dyDescent="0.3">
      <c r="A11" s="105" t="s">
        <v>175</v>
      </c>
      <c r="B11" s="63">
        <f t="shared" ref="B11:K11" si="4">MAX(B3-SUM(B6:B8,B10), B3*$N$6)</f>
        <v>427860</v>
      </c>
      <c r="C11" s="63">
        <f t="shared" si="4"/>
        <v>412840</v>
      </c>
      <c r="D11" s="63">
        <f t="shared" si="4"/>
        <v>404680</v>
      </c>
      <c r="E11" s="63">
        <f t="shared" si="4"/>
        <v>384790</v>
      </c>
      <c r="F11" s="63">
        <f t="shared" si="4"/>
        <v>364960</v>
      </c>
      <c r="G11" s="63">
        <f t="shared" si="4"/>
        <v>354680</v>
      </c>
      <c r="H11" s="63">
        <f t="shared" si="4"/>
        <v>458363.57589319872</v>
      </c>
      <c r="I11" s="63">
        <f t="shared" si="4"/>
        <v>563677.11374253908</v>
      </c>
      <c r="J11" s="63">
        <f t="shared" si="4"/>
        <v>542380.19494460314</v>
      </c>
      <c r="K11" s="63">
        <f t="shared" si="4"/>
        <v>520972.39949034085</v>
      </c>
      <c r="L11" s="89" t="s">
        <v>208</v>
      </c>
      <c r="N11" s="68"/>
      <c r="O11" s="62"/>
    </row>
    <row r="12" spans="1:16" s="60" customFormat="1" ht="58.15" x14ac:dyDescent="0.35">
      <c r="A12" s="105" t="s">
        <v>197</v>
      </c>
      <c r="B12" s="63">
        <f t="shared" ref="B12:K12" si="5">B6*$N$3+B11*$N$2</f>
        <v>418645.44400000002</v>
      </c>
      <c r="C12" s="63">
        <f t="shared" si="5"/>
        <v>412105.73600000003</v>
      </c>
      <c r="D12" s="63">
        <f t="shared" si="5"/>
        <v>408552.87199999997</v>
      </c>
      <c r="E12" s="63">
        <f t="shared" si="5"/>
        <v>399892.766</v>
      </c>
      <c r="F12" s="63">
        <f t="shared" si="5"/>
        <v>391258.78399999999</v>
      </c>
      <c r="G12" s="63">
        <f t="shared" si="5"/>
        <v>386782.87199999997</v>
      </c>
      <c r="H12" s="63">
        <f t="shared" si="5"/>
        <v>315749.10094389872</v>
      </c>
      <c r="I12" s="63">
        <f t="shared" si="5"/>
        <v>245425.01532350152</v>
      </c>
      <c r="J12" s="63">
        <f t="shared" si="5"/>
        <v>236152.33687888022</v>
      </c>
      <c r="K12" s="63">
        <f t="shared" si="5"/>
        <v>226831.3827380944</v>
      </c>
      <c r="L12" s="108" t="s">
        <v>209</v>
      </c>
    </row>
    <row r="13" spans="1:16" s="60" customFormat="1" ht="100.9" x14ac:dyDescent="0.3">
      <c r="A13" s="105"/>
      <c r="B13" s="146" t="s">
        <v>210</v>
      </c>
      <c r="C13" s="147"/>
      <c r="D13" s="147"/>
      <c r="E13" s="147"/>
      <c r="F13" s="147"/>
      <c r="G13" s="147"/>
      <c r="H13" s="147"/>
      <c r="I13" s="147"/>
      <c r="J13" s="148"/>
      <c r="K13" s="87">
        <v>0</v>
      </c>
      <c r="L13" s="108" t="s">
        <v>216</v>
      </c>
    </row>
    <row r="14" spans="1:16"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row>
    <row r="15" spans="1:16" s="60" customFormat="1" ht="45" x14ac:dyDescent="0.25">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6" s="60" customFormat="1" ht="33" x14ac:dyDescent="0.35">
      <c r="A16" s="105" t="s">
        <v>199</v>
      </c>
      <c r="B16" s="82">
        <f t="shared" ref="B16:K16" si="7">B12/B3</f>
        <v>0.35121262080536914</v>
      </c>
      <c r="C16" s="82">
        <f t="shared" si="7"/>
        <v>0.34256503408146305</v>
      </c>
      <c r="D16" s="82">
        <f t="shared" si="7"/>
        <v>0.33820601986754967</v>
      </c>
      <c r="E16" s="82">
        <f t="shared" si="7"/>
        <v>0.32994452640264027</v>
      </c>
      <c r="F16" s="82">
        <f t="shared" si="7"/>
        <v>0.32149448151191451</v>
      </c>
      <c r="G16" s="82">
        <f t="shared" si="7"/>
        <v>0.31729521903199343</v>
      </c>
      <c r="H16" s="82">
        <f t="shared" si="7"/>
        <v>0.25901423584902594</v>
      </c>
      <c r="I16" s="82">
        <f t="shared" si="7"/>
        <v>0.20082391303646033</v>
      </c>
      <c r="J16" s="82">
        <f t="shared" si="7"/>
        <v>0.19275423662785907</v>
      </c>
      <c r="K16" s="82">
        <f t="shared" si="7"/>
        <v>0.18468427190559442</v>
      </c>
      <c r="L16" s="89" t="s">
        <v>212</v>
      </c>
    </row>
    <row r="17" spans="1:14" s="60" customFormat="1" ht="33.75"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4" ht="60.75" thickBot="1" x14ac:dyDescent="0.3">
      <c r="A18" s="128" t="s">
        <v>201</v>
      </c>
      <c r="B18" s="84">
        <f t="shared" ref="B18:K18" si="9">B12*(B14/$N$7)-B17</f>
        <v>401919.30405170389</v>
      </c>
      <c r="C18" s="84">
        <f t="shared" si="9"/>
        <v>379176.01796474739</v>
      </c>
      <c r="D18" s="84">
        <f t="shared" si="9"/>
        <v>359584.13763572264</v>
      </c>
      <c r="E18" s="84">
        <f t="shared" si="9"/>
        <v>335985.10891891894</v>
      </c>
      <c r="F18" s="84">
        <f t="shared" si="9"/>
        <v>313098.97991069336</v>
      </c>
      <c r="G18" s="84">
        <f t="shared" si="9"/>
        <v>294064.06367097533</v>
      </c>
      <c r="H18" s="84">
        <f t="shared" si="9"/>
        <v>227814.27494659671</v>
      </c>
      <c r="I18" s="84">
        <f t="shared" si="9"/>
        <v>167269.69316995403</v>
      </c>
      <c r="J18" s="84">
        <f t="shared" si="9"/>
        <v>151514.89534179625</v>
      </c>
      <c r="K18" s="84">
        <f t="shared" si="9"/>
        <v>136205.44838914953</v>
      </c>
      <c r="L18" s="93" t="s">
        <v>214</v>
      </c>
    </row>
    <row r="19" spans="1:14" x14ac:dyDescent="0.25">
      <c r="A19" s="85"/>
      <c r="B19" s="85"/>
      <c r="C19" s="85"/>
      <c r="D19" s="85"/>
      <c r="E19" s="85"/>
      <c r="F19" s="85"/>
      <c r="G19" s="85"/>
      <c r="H19" s="85"/>
      <c r="I19" s="85"/>
      <c r="J19" s="85"/>
      <c r="K19" s="85"/>
    </row>
    <row r="20" spans="1:14" x14ac:dyDescent="0.25">
      <c r="N20" s="2"/>
    </row>
    <row r="21" spans="1:14" x14ac:dyDescent="0.25">
      <c r="N21" s="2"/>
    </row>
    <row r="22" spans="1:14" x14ac:dyDescent="0.25">
      <c r="N22" s="2"/>
    </row>
  </sheetData>
  <mergeCells count="3">
    <mergeCell ref="B1:L1"/>
    <mergeCell ref="N1:O1"/>
    <mergeCell ref="B13:J1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defaultRowHeight="15" x14ac:dyDescent="0.25"/>
  <cols>
    <col min="1" max="1" width="31.5703125" customWidth="1"/>
    <col min="2" max="11" width="8" bestFit="1" customWidth="1"/>
    <col min="12" max="12" width="57.85546875" customWidth="1"/>
    <col min="15" max="15" width="36.5703125" customWidth="1"/>
  </cols>
  <sheetData>
    <row r="1" spans="1:15" s="60" customFormat="1" ht="14.45" x14ac:dyDescent="0.3">
      <c r="A1" s="103" t="s">
        <v>46</v>
      </c>
      <c r="B1" s="141" t="s">
        <v>176</v>
      </c>
      <c r="C1" s="142"/>
      <c r="D1" s="142"/>
      <c r="E1" s="142"/>
      <c r="F1" s="142"/>
      <c r="G1" s="142"/>
      <c r="H1" s="142"/>
      <c r="I1" s="142"/>
      <c r="J1" s="142"/>
      <c r="K1" s="142"/>
      <c r="L1" s="143"/>
      <c r="N1" s="144" t="s">
        <v>196</v>
      </c>
      <c r="O1" s="145"/>
    </row>
    <row r="2" spans="1:15" s="60" customFormat="1" ht="14.45" x14ac:dyDescent="0.3">
      <c r="A2" s="104" t="s">
        <v>152</v>
      </c>
      <c r="B2" s="125">
        <v>2021</v>
      </c>
      <c r="C2" s="125">
        <v>2022</v>
      </c>
      <c r="D2" s="125">
        <v>2023</v>
      </c>
      <c r="E2" s="125">
        <v>2024</v>
      </c>
      <c r="F2" s="125">
        <v>2025</v>
      </c>
      <c r="G2" s="125">
        <v>2026</v>
      </c>
      <c r="H2" s="125">
        <v>2027</v>
      </c>
      <c r="I2" s="125">
        <v>2028</v>
      </c>
      <c r="J2" s="125">
        <v>2029</v>
      </c>
      <c r="K2" s="124">
        <v>2030</v>
      </c>
      <c r="L2" s="92" t="s">
        <v>177</v>
      </c>
      <c r="N2" s="61">
        <v>0.43540000000000001</v>
      </c>
      <c r="O2" s="61" t="s">
        <v>273</v>
      </c>
    </row>
    <row r="3" spans="1:15" s="60" customFormat="1" ht="58.15" x14ac:dyDescent="0.35">
      <c r="A3" s="105" t="s">
        <v>169</v>
      </c>
      <c r="B3" s="63">
        <v>83362.621808560798</v>
      </c>
      <c r="C3" s="63">
        <v>83908.877148411542</v>
      </c>
      <c r="D3" s="63">
        <v>84373.658303771255</v>
      </c>
      <c r="E3" s="63">
        <v>84959.64</v>
      </c>
      <c r="F3" s="63">
        <v>85456.48</v>
      </c>
      <c r="G3" s="63">
        <v>85953.32</v>
      </c>
      <c r="H3" s="67">
        <f>AVERAGE(E3:G3)*(1+$N$9)</f>
        <v>85804.64027763487</v>
      </c>
      <c r="I3" s="67">
        <f t="shared" ref="I3:K4" si="0">H3*(1+$N$9)</f>
        <v>86154.219003337377</v>
      </c>
      <c r="J3" s="67">
        <f t="shared" si="0"/>
        <v>86505.221956040521</v>
      </c>
      <c r="K3" s="67">
        <f t="shared" si="0"/>
        <v>86857.6549382214</v>
      </c>
      <c r="L3" s="89" t="s">
        <v>272</v>
      </c>
      <c r="N3" s="64">
        <v>0.91839999999999999</v>
      </c>
      <c r="O3" s="9" t="s">
        <v>203</v>
      </c>
    </row>
    <row r="4" spans="1:15" s="60" customFormat="1" ht="43.15" x14ac:dyDescent="0.3">
      <c r="A4" s="105" t="s">
        <v>170</v>
      </c>
      <c r="B4" s="63">
        <f>SUMIFS('Form 1.1c'!J:J, 'Form 1.1c'!$B:$B, "City of Healdsburg")*1000</f>
        <v>76000</v>
      </c>
      <c r="C4" s="63">
        <f>SUMIFS('Form 1.1c'!K:K, 'Form 1.1c'!$B:$B, "City of Healdsburg")*1000</f>
        <v>77000</v>
      </c>
      <c r="D4" s="63">
        <f>SUMIFS('Form 1.1c'!L:L, 'Form 1.1c'!$B:$B, "City of Healdsburg")*1000</f>
        <v>77000</v>
      </c>
      <c r="E4" s="63">
        <f>SUMIFS('Form 1.1c'!M:M, 'Form 1.1c'!$B:$B, "City of Healdsburg")*1000</f>
        <v>78000</v>
      </c>
      <c r="F4" s="63">
        <f>SUMIFS('Form 1.1c'!N:N, 'Form 1.1c'!$B:$B, "City of Healdsburg")*1000</f>
        <v>78000</v>
      </c>
      <c r="G4" s="63">
        <f>SUMIFS('Form 1.1c'!O:O, 'Form 1.1c'!$B:$B, "City of Healdsburg")*1000</f>
        <v>78000</v>
      </c>
      <c r="H4" s="67">
        <f>AVERAGE(E4:G4)*(1+$N$9)</f>
        <v>78317.781655124578</v>
      </c>
      <c r="I4" s="63">
        <f t="shared" si="0"/>
        <v>78636.857992048303</v>
      </c>
      <c r="J4" s="63">
        <f t="shared" si="0"/>
        <v>78957.234285465078</v>
      </c>
      <c r="K4" s="63">
        <f t="shared" si="0"/>
        <v>79278.915831558581</v>
      </c>
      <c r="L4" s="89" t="s">
        <v>222</v>
      </c>
      <c r="N4" s="70">
        <f>0.15</f>
        <v>0.15</v>
      </c>
      <c r="O4" s="61" t="s">
        <v>166</v>
      </c>
    </row>
    <row r="5" spans="1:15" s="60" customFormat="1" ht="28.9" x14ac:dyDescent="0.3">
      <c r="A5" s="105" t="s">
        <v>194</v>
      </c>
      <c r="B5" s="63">
        <f t="shared" ref="B5:K5" si="1">IF(AND(0&lt;(B3-B4)/B3,(B3-B4)/B3&lt;$N$4),B4,B3*(1-$N$5))</f>
        <v>76000</v>
      </c>
      <c r="C5" s="63">
        <f t="shared" si="1"/>
        <v>77000</v>
      </c>
      <c r="D5" s="63">
        <f t="shared" si="1"/>
        <v>77000</v>
      </c>
      <c r="E5" s="63">
        <f t="shared" si="1"/>
        <v>78000</v>
      </c>
      <c r="F5" s="63">
        <f t="shared" si="1"/>
        <v>78000</v>
      </c>
      <c r="G5" s="63">
        <f t="shared" si="1"/>
        <v>78000</v>
      </c>
      <c r="H5" s="63">
        <f t="shared" si="1"/>
        <v>78317.781655124578</v>
      </c>
      <c r="I5" s="63">
        <f t="shared" si="1"/>
        <v>78636.857992048303</v>
      </c>
      <c r="J5" s="63">
        <f t="shared" si="1"/>
        <v>78957.234285465078</v>
      </c>
      <c r="K5" s="63">
        <f t="shared" si="1"/>
        <v>79278.915831558581</v>
      </c>
      <c r="L5" s="89" t="s">
        <v>271</v>
      </c>
      <c r="N5" s="70">
        <f>0.07</f>
        <v>7.0000000000000007E-2</v>
      </c>
      <c r="O5" s="61" t="s">
        <v>270</v>
      </c>
    </row>
    <row r="6" spans="1:15" s="60" customFormat="1" ht="14.45" x14ac:dyDescent="0.3">
      <c r="A6" s="105" t="s">
        <v>171</v>
      </c>
      <c r="B6" s="63">
        <v>0</v>
      </c>
      <c r="C6" s="63">
        <v>0</v>
      </c>
      <c r="D6" s="63">
        <v>0</v>
      </c>
      <c r="E6" s="63">
        <v>0</v>
      </c>
      <c r="F6" s="63">
        <v>0</v>
      </c>
      <c r="G6" s="63">
        <v>0</v>
      </c>
      <c r="H6" s="63">
        <v>0</v>
      </c>
      <c r="I6" s="63">
        <v>0</v>
      </c>
      <c r="J6" s="63">
        <v>0</v>
      </c>
      <c r="K6" s="63">
        <v>0</v>
      </c>
      <c r="L6" s="120" t="s">
        <v>269</v>
      </c>
      <c r="N6" s="65">
        <v>0.05</v>
      </c>
      <c r="O6" s="61" t="s">
        <v>268</v>
      </c>
    </row>
    <row r="7" spans="1:15" s="60" customFormat="1" ht="14.45" x14ac:dyDescent="0.3">
      <c r="A7" s="105" t="s">
        <v>172</v>
      </c>
      <c r="B7" s="63">
        <v>0</v>
      </c>
      <c r="C7" s="63">
        <v>0</v>
      </c>
      <c r="D7" s="63">
        <v>0</v>
      </c>
      <c r="E7" s="63">
        <v>0</v>
      </c>
      <c r="F7" s="63">
        <v>0</v>
      </c>
      <c r="G7" s="63">
        <v>0</v>
      </c>
      <c r="H7" s="63">
        <v>0</v>
      </c>
      <c r="I7" s="63">
        <v>0</v>
      </c>
      <c r="J7" s="63">
        <v>0</v>
      </c>
      <c r="K7" s="63">
        <v>0</v>
      </c>
      <c r="L7" s="120" t="s">
        <v>267</v>
      </c>
      <c r="N7" s="86">
        <v>0.85099999999999998</v>
      </c>
      <c r="O7" s="61" t="s">
        <v>168</v>
      </c>
    </row>
    <row r="8" spans="1:15" s="60" customFormat="1" ht="43.15" x14ac:dyDescent="0.3">
      <c r="A8" s="105" t="s">
        <v>173</v>
      </c>
      <c r="B8" s="63">
        <v>12364</v>
      </c>
      <c r="C8" s="63">
        <v>12440.999999999998</v>
      </c>
      <c r="D8" s="63">
        <v>12440</v>
      </c>
      <c r="E8" s="63">
        <v>12448</v>
      </c>
      <c r="F8" s="63">
        <v>12468</v>
      </c>
      <c r="G8" s="63">
        <v>12456.999999999998</v>
      </c>
      <c r="H8" s="67">
        <f>AVERAGE(E8:G8)</f>
        <v>12457.666666666666</v>
      </c>
      <c r="I8" s="67">
        <f t="shared" ref="I8:K8" si="2">H8</f>
        <v>12457.666666666666</v>
      </c>
      <c r="J8" s="67">
        <f t="shared" si="2"/>
        <v>12457.666666666666</v>
      </c>
      <c r="K8" s="67">
        <f t="shared" si="2"/>
        <v>12457.666666666666</v>
      </c>
      <c r="L8" s="89" t="s">
        <v>266</v>
      </c>
    </row>
    <row r="9" spans="1:15" s="60" customFormat="1" ht="28.9" x14ac:dyDescent="0.3">
      <c r="A9" s="105" t="s">
        <v>153</v>
      </c>
      <c r="B9" s="73">
        <v>0.34</v>
      </c>
      <c r="C9" s="59">
        <v>0.36</v>
      </c>
      <c r="D9" s="59">
        <v>0.37</v>
      </c>
      <c r="E9" s="59">
        <v>0.39</v>
      </c>
      <c r="F9" s="59">
        <v>0.41</v>
      </c>
      <c r="G9" s="59">
        <v>0.42</v>
      </c>
      <c r="H9" s="59">
        <v>0.44</v>
      </c>
      <c r="I9" s="59">
        <v>0.46</v>
      </c>
      <c r="J9" s="59">
        <v>0.48</v>
      </c>
      <c r="K9" s="59">
        <v>0.5</v>
      </c>
      <c r="L9" s="89" t="s">
        <v>248</v>
      </c>
      <c r="N9" s="66">
        <v>4.0741237836483535E-3</v>
      </c>
      <c r="O9" s="89" t="s">
        <v>206</v>
      </c>
    </row>
    <row r="10" spans="1:15" s="60" customFormat="1" ht="15.6" x14ac:dyDescent="0.3">
      <c r="A10" s="105" t="s">
        <v>174</v>
      </c>
      <c r="B10" s="63">
        <f t="shared" ref="B10:K10" si="3">B5*B9</f>
        <v>25840.000000000004</v>
      </c>
      <c r="C10" s="63">
        <f t="shared" si="3"/>
        <v>27720</v>
      </c>
      <c r="D10" s="63">
        <f t="shared" si="3"/>
        <v>28490</v>
      </c>
      <c r="E10" s="63">
        <f t="shared" si="3"/>
        <v>30420</v>
      </c>
      <c r="F10" s="63">
        <f t="shared" si="3"/>
        <v>31979.999999999996</v>
      </c>
      <c r="G10" s="63">
        <f t="shared" si="3"/>
        <v>32760</v>
      </c>
      <c r="H10" s="63">
        <f t="shared" si="3"/>
        <v>34459.823928254817</v>
      </c>
      <c r="I10" s="63">
        <f t="shared" si="3"/>
        <v>36172.954676342219</v>
      </c>
      <c r="J10" s="63">
        <f t="shared" si="3"/>
        <v>37899.472457023236</v>
      </c>
      <c r="K10" s="63">
        <f t="shared" si="3"/>
        <v>39639.45791577929</v>
      </c>
      <c r="L10" s="89" t="s">
        <v>207</v>
      </c>
      <c r="N10" s="68"/>
      <c r="O10" s="62"/>
    </row>
    <row r="11" spans="1:15" s="60" customFormat="1" ht="28.9" x14ac:dyDescent="0.3">
      <c r="A11" s="105" t="s">
        <v>175</v>
      </c>
      <c r="B11" s="63">
        <f t="shared" ref="B11:K11" si="4">MAX(B3-SUM(B6:B8,B10), B3*$N$6)</f>
        <v>45158.621808560798</v>
      </c>
      <c r="C11" s="63">
        <f t="shared" si="4"/>
        <v>43747.877148411542</v>
      </c>
      <c r="D11" s="63">
        <f t="shared" si="4"/>
        <v>43443.658303771255</v>
      </c>
      <c r="E11" s="63">
        <f t="shared" si="4"/>
        <v>42091.64</v>
      </c>
      <c r="F11" s="63">
        <f t="shared" si="4"/>
        <v>41008.479999999996</v>
      </c>
      <c r="G11" s="63">
        <f t="shared" si="4"/>
        <v>40736.320000000007</v>
      </c>
      <c r="H11" s="63">
        <f t="shared" si="4"/>
        <v>38887.149682713389</v>
      </c>
      <c r="I11" s="63">
        <f t="shared" si="4"/>
        <v>37523.597660328494</v>
      </c>
      <c r="J11" s="63">
        <f t="shared" si="4"/>
        <v>36148.082832350621</v>
      </c>
      <c r="K11" s="63">
        <f t="shared" si="4"/>
        <v>34760.530355775445</v>
      </c>
      <c r="L11" s="89" t="s">
        <v>208</v>
      </c>
      <c r="N11" s="68"/>
      <c r="O11" s="62"/>
    </row>
    <row r="12" spans="1:15" s="60" customFormat="1" ht="43.9" x14ac:dyDescent="0.35">
      <c r="A12" s="105" t="s">
        <v>197</v>
      </c>
      <c r="B12" s="63">
        <f t="shared" ref="B12:K12" si="5">B6*$N$3+B11*$N$2</f>
        <v>19662.063935447371</v>
      </c>
      <c r="C12" s="63">
        <f t="shared" si="5"/>
        <v>19047.825710418387</v>
      </c>
      <c r="D12" s="63">
        <f t="shared" si="5"/>
        <v>18915.368825462006</v>
      </c>
      <c r="E12" s="63">
        <f t="shared" si="5"/>
        <v>18326.700056000001</v>
      </c>
      <c r="F12" s="63">
        <f t="shared" si="5"/>
        <v>17855.092192</v>
      </c>
      <c r="G12" s="63">
        <f t="shared" si="5"/>
        <v>17736.593728000003</v>
      </c>
      <c r="H12" s="63">
        <f t="shared" si="5"/>
        <v>16931.464971853409</v>
      </c>
      <c r="I12" s="63">
        <f t="shared" si="5"/>
        <v>16337.774421307027</v>
      </c>
      <c r="J12" s="63">
        <f t="shared" si="5"/>
        <v>15738.875265205461</v>
      </c>
      <c r="K12" s="63">
        <f t="shared" si="5"/>
        <v>15134.734916904628</v>
      </c>
      <c r="L12" s="108" t="s">
        <v>209</v>
      </c>
    </row>
    <row r="13" spans="1:15" s="60" customFormat="1" ht="72" x14ac:dyDescent="0.3">
      <c r="A13" s="105"/>
      <c r="B13" s="146" t="s">
        <v>210</v>
      </c>
      <c r="C13" s="147"/>
      <c r="D13" s="147"/>
      <c r="E13" s="147"/>
      <c r="F13" s="147"/>
      <c r="G13" s="147"/>
      <c r="H13" s="147"/>
      <c r="I13" s="147"/>
      <c r="J13" s="148"/>
      <c r="K13" s="87">
        <v>0</v>
      </c>
      <c r="L13" s="108" t="s">
        <v>216</v>
      </c>
    </row>
    <row r="14" spans="1:15" s="60" customFormat="1"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row>
    <row r="15" spans="1:15"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5" s="60" customFormat="1" ht="30" x14ac:dyDescent="0.35">
      <c r="A16" s="105" t="s">
        <v>199</v>
      </c>
      <c r="B16" s="82">
        <f>B12/B3</f>
        <v>0.23586187081064436</v>
      </c>
      <c r="C16" s="82">
        <f t="shared" ref="C16:K16" si="7">C12/C3</f>
        <v>0.22700608514553308</v>
      </c>
      <c r="D16" s="82">
        <f t="shared" si="7"/>
        <v>0.22418571395068387</v>
      </c>
      <c r="E16" s="82">
        <f t="shared" si="7"/>
        <v>0.21571066045006784</v>
      </c>
      <c r="F16" s="82">
        <f t="shared" si="7"/>
        <v>0.20893783820723719</v>
      </c>
      <c r="G16" s="82">
        <f t="shared" si="7"/>
        <v>0.20635146761055886</v>
      </c>
      <c r="H16" s="82">
        <f t="shared" si="7"/>
        <v>0.19732574971550373</v>
      </c>
      <c r="I16" s="82">
        <f t="shared" si="7"/>
        <v>0.18963406099327704</v>
      </c>
      <c r="J16" s="82">
        <f t="shared" si="7"/>
        <v>0.18194133150948399</v>
      </c>
      <c r="K16" s="82">
        <f t="shared" si="7"/>
        <v>0.17424756548711107</v>
      </c>
      <c r="L16" s="89" t="s">
        <v>212</v>
      </c>
    </row>
    <row r="17" spans="1:15"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5" ht="43.9" thickBot="1" x14ac:dyDescent="0.35">
      <c r="A18" s="128" t="s">
        <v>201</v>
      </c>
      <c r="B18" s="84">
        <f t="shared" ref="B18:K18" si="9">B12*(B14/$N$7)-B17</f>
        <v>18876.505564348416</v>
      </c>
      <c r="C18" s="84">
        <f t="shared" si="9"/>
        <v>17525.79028349894</v>
      </c>
      <c r="D18" s="84">
        <f t="shared" si="9"/>
        <v>16648.191833455985</v>
      </c>
      <c r="E18" s="84">
        <f t="shared" si="9"/>
        <v>15397.873725076382</v>
      </c>
      <c r="F18" s="84">
        <f t="shared" si="9"/>
        <v>14288.270014984726</v>
      </c>
      <c r="G18" s="84">
        <f t="shared" si="9"/>
        <v>13484.813327868393</v>
      </c>
      <c r="H18" s="84">
        <f t="shared" si="9"/>
        <v>12216.121613064621</v>
      </c>
      <c r="I18" s="84">
        <f t="shared" si="9"/>
        <v>11135.028395250383</v>
      </c>
      <c r="J18" s="84">
        <f t="shared" si="9"/>
        <v>10098.032778850979</v>
      </c>
      <c r="K18" s="84">
        <f t="shared" si="9"/>
        <v>9087.9548090931439</v>
      </c>
      <c r="L18" s="93" t="s">
        <v>214</v>
      </c>
      <c r="M18" s="60"/>
      <c r="N18" s="60"/>
      <c r="O18" s="60"/>
    </row>
    <row r="19" spans="1:15" ht="14.45" x14ac:dyDescent="0.3">
      <c r="A19" s="85"/>
      <c r="B19" s="85"/>
      <c r="C19" s="85"/>
      <c r="D19" s="85"/>
      <c r="E19" s="85"/>
      <c r="F19" s="85"/>
      <c r="G19" s="85"/>
      <c r="H19" s="85"/>
      <c r="I19" s="85"/>
      <c r="J19" s="85"/>
      <c r="K19" s="85"/>
      <c r="L19" s="60"/>
      <c r="M19" s="60"/>
      <c r="N19" s="60"/>
      <c r="O19" s="60"/>
    </row>
  </sheetData>
  <mergeCells count="3">
    <mergeCell ref="B1:L1"/>
    <mergeCell ref="N1:O1"/>
    <mergeCell ref="B13:J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37.140625" customWidth="1"/>
    <col min="2" max="11" width="8" bestFit="1" customWidth="1"/>
    <col min="12" max="12" width="53.7109375" style="3" customWidth="1"/>
    <col min="14" max="14" width="8.7109375" customWidth="1"/>
    <col min="15" max="15" width="41" customWidth="1"/>
  </cols>
  <sheetData>
    <row r="1" spans="1:18" s="60" customFormat="1" ht="15.6" x14ac:dyDescent="0.3">
      <c r="A1" s="103" t="s">
        <v>15</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v>38027.728654045517</v>
      </c>
      <c r="C3" s="67">
        <f t="shared" ref="C3:K3" si="0">B3*(1+$N$9)</f>
        <v>38183.880036043163</v>
      </c>
      <c r="D3" s="67">
        <f t="shared" si="0"/>
        <v>38340.672614740237</v>
      </c>
      <c r="E3" s="67">
        <f t="shared" si="0"/>
        <v>38498.109023051045</v>
      </c>
      <c r="F3" s="67">
        <f t="shared" si="0"/>
        <v>38656.1919047013</v>
      </c>
      <c r="G3" s="67">
        <f t="shared" si="0"/>
        <v>38814.923914272505</v>
      </c>
      <c r="H3" s="67">
        <f t="shared" si="0"/>
        <v>38974.307717246556</v>
      </c>
      <c r="I3" s="67">
        <f t="shared" si="0"/>
        <v>39134.345990050475</v>
      </c>
      <c r="J3" s="67">
        <f t="shared" si="0"/>
        <v>39295.041420101363</v>
      </c>
      <c r="K3" s="67">
        <f t="shared" si="0"/>
        <v>39456.396705851534</v>
      </c>
      <c r="L3" s="89" t="s">
        <v>219</v>
      </c>
      <c r="N3" s="64">
        <v>0.91839999999999999</v>
      </c>
      <c r="O3" s="9" t="s">
        <v>203</v>
      </c>
    </row>
    <row r="4" spans="1:18" s="60" customFormat="1" ht="28.9" x14ac:dyDescent="0.3">
      <c r="A4" s="105" t="s">
        <v>170</v>
      </c>
      <c r="B4" s="63">
        <f>B3*(1-$N$5)</f>
        <v>35365.787648262325</v>
      </c>
      <c r="C4" s="63">
        <f t="shared" ref="C4:K4" si="1">C3*(1-$N$5)</f>
        <v>35511.008433520139</v>
      </c>
      <c r="D4" s="63">
        <f t="shared" si="1"/>
        <v>35656.825531708419</v>
      </c>
      <c r="E4" s="63">
        <f t="shared" si="1"/>
        <v>35803.24139143747</v>
      </c>
      <c r="F4" s="63">
        <f t="shared" si="1"/>
        <v>35950.25847137221</v>
      </c>
      <c r="G4" s="63">
        <f t="shared" si="1"/>
        <v>36097.879240273425</v>
      </c>
      <c r="H4" s="63">
        <f t="shared" si="1"/>
        <v>36246.106177039292</v>
      </c>
      <c r="I4" s="63">
        <f t="shared" si="1"/>
        <v>36394.94177074694</v>
      </c>
      <c r="J4" s="63">
        <f t="shared" si="1"/>
        <v>36544.388520694265</v>
      </c>
      <c r="K4" s="63">
        <f t="shared" si="1"/>
        <v>36694.448936441921</v>
      </c>
      <c r="L4" s="89" t="s">
        <v>250</v>
      </c>
      <c r="N4" s="70">
        <f>0.15</f>
        <v>0.15</v>
      </c>
      <c r="O4" s="89" t="s">
        <v>166</v>
      </c>
    </row>
    <row r="5" spans="1:18" s="60" customFormat="1" ht="14.45" x14ac:dyDescent="0.3">
      <c r="A5" s="105" t="s">
        <v>194</v>
      </c>
      <c r="B5" s="63">
        <f>IF(AND(0&lt;(B3-B4)/B3,(B3-B4)/B3&lt;$N$4),B4,B3*(1-$N$5))</f>
        <v>35365.787648262325</v>
      </c>
      <c r="C5" s="63">
        <f t="shared" ref="C5:K5" si="2">IF(AND(0&lt;(C3-C4)/C3,(C3-C4)/C3&lt;$N$4),C4,C3*(1-$N$5))</f>
        <v>35511.008433520139</v>
      </c>
      <c r="D5" s="63">
        <f t="shared" si="2"/>
        <v>35656.825531708419</v>
      </c>
      <c r="E5" s="63">
        <f t="shared" si="2"/>
        <v>35803.24139143747</v>
      </c>
      <c r="F5" s="63">
        <f t="shared" si="2"/>
        <v>35950.25847137221</v>
      </c>
      <c r="G5" s="63">
        <f t="shared" si="2"/>
        <v>36097.879240273425</v>
      </c>
      <c r="H5" s="63">
        <f t="shared" si="2"/>
        <v>36246.106177039292</v>
      </c>
      <c r="I5" s="63">
        <f t="shared" si="2"/>
        <v>36394.94177074694</v>
      </c>
      <c r="J5" s="63">
        <f t="shared" si="2"/>
        <v>36544.388520694265</v>
      </c>
      <c r="K5" s="63">
        <f t="shared" si="2"/>
        <v>36694.448936441921</v>
      </c>
      <c r="L5" s="89" t="s">
        <v>249</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14.45" x14ac:dyDescent="0.3">
      <c r="A8" s="105" t="s">
        <v>173</v>
      </c>
      <c r="B8" s="63">
        <v>0</v>
      </c>
      <c r="C8" s="63">
        <v>0</v>
      </c>
      <c r="D8" s="63">
        <v>0</v>
      </c>
      <c r="E8" s="63">
        <v>0</v>
      </c>
      <c r="F8" s="63">
        <v>0</v>
      </c>
      <c r="G8" s="63">
        <v>0</v>
      </c>
      <c r="H8" s="63">
        <v>0</v>
      </c>
      <c r="I8" s="63">
        <v>0</v>
      </c>
      <c r="J8" s="63">
        <v>0</v>
      </c>
      <c r="K8" s="63">
        <v>0</v>
      </c>
      <c r="L8" s="120" t="s">
        <v>246</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4.1062505578026709E-3</v>
      </c>
      <c r="O9" s="89" t="s">
        <v>206</v>
      </c>
    </row>
    <row r="10" spans="1:18" s="60" customFormat="1" ht="15.6" x14ac:dyDescent="0.3">
      <c r="A10" s="105" t="s">
        <v>174</v>
      </c>
      <c r="B10" s="63">
        <f>B5*B9</f>
        <v>12024.367800409191</v>
      </c>
      <c r="C10" s="63">
        <f t="shared" ref="C10:K10" si="3">C5*C9</f>
        <v>12783.963036067249</v>
      </c>
      <c r="D10" s="63">
        <f t="shared" si="3"/>
        <v>13193.025446732116</v>
      </c>
      <c r="E10" s="63">
        <f t="shared" si="3"/>
        <v>13963.264142660613</v>
      </c>
      <c r="F10" s="63">
        <f t="shared" si="3"/>
        <v>14739.605973262605</v>
      </c>
      <c r="G10" s="63">
        <f t="shared" si="3"/>
        <v>15161.109280914838</v>
      </c>
      <c r="H10" s="63">
        <f t="shared" si="3"/>
        <v>15948.286717897288</v>
      </c>
      <c r="I10" s="63">
        <f t="shared" si="3"/>
        <v>16741.673214543593</v>
      </c>
      <c r="J10" s="63">
        <f t="shared" si="3"/>
        <v>17541.306489933246</v>
      </c>
      <c r="K10" s="63">
        <f t="shared" si="3"/>
        <v>18347.22446822096</v>
      </c>
      <c r="L10" s="89" t="s">
        <v>207</v>
      </c>
      <c r="N10" s="68"/>
      <c r="O10" s="62"/>
    </row>
    <row r="11" spans="1:18" s="60" customFormat="1" ht="28.9" x14ac:dyDescent="0.3">
      <c r="A11" s="105" t="s">
        <v>175</v>
      </c>
      <c r="B11" s="63">
        <f t="shared" ref="B11:K11" si="4">MAX(B3-SUM(B6:B8,B10), B3*$N$6)</f>
        <v>26003.360853636324</v>
      </c>
      <c r="C11" s="63">
        <f t="shared" si="4"/>
        <v>25399.916999975914</v>
      </c>
      <c r="D11" s="63">
        <f t="shared" si="4"/>
        <v>25147.647168008123</v>
      </c>
      <c r="E11" s="63">
        <f t="shared" si="4"/>
        <v>24534.844880390432</v>
      </c>
      <c r="F11" s="63">
        <f t="shared" si="4"/>
        <v>23916.585931438694</v>
      </c>
      <c r="G11" s="63">
        <f t="shared" si="4"/>
        <v>23653.814633357666</v>
      </c>
      <c r="H11" s="63">
        <f t="shared" si="4"/>
        <v>23026.020999349268</v>
      </c>
      <c r="I11" s="63">
        <f t="shared" si="4"/>
        <v>22392.672775506882</v>
      </c>
      <c r="J11" s="63">
        <f t="shared" si="4"/>
        <v>21753.734930168117</v>
      </c>
      <c r="K11" s="63">
        <f t="shared" si="4"/>
        <v>21109.172237630573</v>
      </c>
      <c r="L11" s="89" t="s">
        <v>208</v>
      </c>
      <c r="N11" s="68"/>
      <c r="O11" s="62"/>
    </row>
    <row r="12" spans="1:18" s="60" customFormat="1" ht="43.9" x14ac:dyDescent="0.35">
      <c r="A12" s="105" t="s">
        <v>197</v>
      </c>
      <c r="B12" s="63">
        <f t="shared" ref="B12:K12" si="5">B6*$N$3+B11*$N$2</f>
        <v>11321.863315673256</v>
      </c>
      <c r="C12" s="63">
        <f t="shared" si="5"/>
        <v>11059.123861789514</v>
      </c>
      <c r="D12" s="63">
        <f t="shared" si="5"/>
        <v>10949.285576950737</v>
      </c>
      <c r="E12" s="63">
        <f t="shared" si="5"/>
        <v>10682.471460921994</v>
      </c>
      <c r="F12" s="63">
        <f t="shared" si="5"/>
        <v>10413.281514548407</v>
      </c>
      <c r="G12" s="63">
        <f t="shared" si="5"/>
        <v>10298.870891363928</v>
      </c>
      <c r="H12" s="63">
        <f t="shared" si="5"/>
        <v>10025.529543116672</v>
      </c>
      <c r="I12" s="63">
        <f t="shared" si="5"/>
        <v>9749.7697264556973</v>
      </c>
      <c r="J12" s="63">
        <f t="shared" si="5"/>
        <v>9471.5761885951979</v>
      </c>
      <c r="K12" s="63">
        <f t="shared" si="5"/>
        <v>9190.9335922643513</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8" s="60" customFormat="1" ht="30" x14ac:dyDescent="0.35">
      <c r="A16" s="105" t="s">
        <v>199</v>
      </c>
      <c r="B16" s="82">
        <f t="shared" ref="B16:K16" si="7">B12/B3</f>
        <v>0.29772651999999999</v>
      </c>
      <c r="C16" s="82">
        <f t="shared" si="7"/>
        <v>0.28962808000000007</v>
      </c>
      <c r="D16" s="82">
        <f t="shared" si="7"/>
        <v>0.28557886000000005</v>
      </c>
      <c r="E16" s="82">
        <f t="shared" si="7"/>
        <v>0.27748042000000001</v>
      </c>
      <c r="F16" s="82">
        <f t="shared" si="7"/>
        <v>0.26938198000000002</v>
      </c>
      <c r="G16" s="82">
        <f t="shared" si="7"/>
        <v>0.26533276</v>
      </c>
      <c r="H16" s="82">
        <f t="shared" si="7"/>
        <v>0.25723432000000007</v>
      </c>
      <c r="I16" s="82">
        <f t="shared" si="7"/>
        <v>0.24913588000000003</v>
      </c>
      <c r="J16" s="82">
        <f t="shared" si="7"/>
        <v>0.24103744000000002</v>
      </c>
      <c r="K16" s="82">
        <f t="shared" si="7"/>
        <v>0.23293900000000003</v>
      </c>
      <c r="L16" s="89" t="s">
        <v>212</v>
      </c>
    </row>
    <row r="17" spans="1:18"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8" ht="43.9" thickBot="1" x14ac:dyDescent="0.35">
      <c r="A18" s="128" t="s">
        <v>201</v>
      </c>
      <c r="B18" s="84">
        <f t="shared" ref="B18:K18" si="9">B12*(B14/$N$7)-B17</f>
        <v>10869.520950534725</v>
      </c>
      <c r="C18" s="84">
        <f t="shared" si="9"/>
        <v>10175.433588462032</v>
      </c>
      <c r="D18" s="84">
        <f t="shared" si="9"/>
        <v>9636.9152727803776</v>
      </c>
      <c r="E18" s="84">
        <f t="shared" si="9"/>
        <v>8975.2844824432741</v>
      </c>
      <c r="F18" s="84">
        <f t="shared" si="9"/>
        <v>8333.0725163424995</v>
      </c>
      <c r="G18" s="84">
        <f t="shared" si="9"/>
        <v>7830.0463768654072</v>
      </c>
      <c r="H18" s="84">
        <f t="shared" si="9"/>
        <v>7233.460798441406</v>
      </c>
      <c r="I18" s="84">
        <f t="shared" si="9"/>
        <v>6644.9664410626374</v>
      </c>
      <c r="J18" s="84">
        <f t="shared" si="9"/>
        <v>6076.9454747038526</v>
      </c>
      <c r="K18" s="84">
        <f t="shared" si="9"/>
        <v>5518.8802181516849</v>
      </c>
      <c r="L18" s="93" t="s">
        <v>214</v>
      </c>
      <c r="N18" s="60"/>
      <c r="O18" s="60"/>
      <c r="P18" s="60"/>
      <c r="Q18" s="60"/>
      <c r="R18" s="60"/>
    </row>
    <row r="19" spans="1:18" ht="14.45" x14ac:dyDescent="0.3">
      <c r="A19" s="85"/>
      <c r="B19" s="85"/>
      <c r="C19" s="85"/>
      <c r="D19" s="85"/>
      <c r="E19" s="85"/>
      <c r="F19" s="85"/>
      <c r="G19" s="85"/>
      <c r="H19" s="85"/>
      <c r="I19" s="85"/>
      <c r="J19" s="85"/>
      <c r="K19" s="85"/>
    </row>
  </sheetData>
  <mergeCells count="3">
    <mergeCell ref="B1:L1"/>
    <mergeCell ref="N1:O1"/>
    <mergeCell ref="B13:J1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defaultRowHeight="15" x14ac:dyDescent="0.25"/>
  <cols>
    <col min="1" max="1" width="37.7109375" customWidth="1"/>
    <col min="12" max="12" width="49.28515625" customWidth="1"/>
    <col min="15" max="15" width="42.85546875" customWidth="1"/>
  </cols>
  <sheetData>
    <row r="1" spans="1:15" s="60" customFormat="1" ht="14.45" x14ac:dyDescent="0.3">
      <c r="A1" s="103" t="s">
        <v>48</v>
      </c>
      <c r="B1" s="141" t="s">
        <v>176</v>
      </c>
      <c r="C1" s="142"/>
      <c r="D1" s="142"/>
      <c r="E1" s="142"/>
      <c r="F1" s="142"/>
      <c r="G1" s="142"/>
      <c r="H1" s="142"/>
      <c r="I1" s="142"/>
      <c r="J1" s="142"/>
      <c r="K1" s="142"/>
      <c r="L1" s="143"/>
      <c r="N1" s="144" t="s">
        <v>196</v>
      </c>
      <c r="O1" s="145"/>
    </row>
    <row r="2" spans="1:15" s="60" customFormat="1" ht="14.45" x14ac:dyDescent="0.3">
      <c r="A2" s="104" t="s">
        <v>152</v>
      </c>
      <c r="B2" s="125">
        <v>2021</v>
      </c>
      <c r="C2" s="125">
        <v>2022</v>
      </c>
      <c r="D2" s="125">
        <v>2023</v>
      </c>
      <c r="E2" s="125">
        <v>2024</v>
      </c>
      <c r="F2" s="125">
        <v>2025</v>
      </c>
      <c r="G2" s="125">
        <v>2026</v>
      </c>
      <c r="H2" s="125">
        <v>2027</v>
      </c>
      <c r="I2" s="125">
        <v>2028</v>
      </c>
      <c r="J2" s="125">
        <v>2029</v>
      </c>
      <c r="K2" s="124">
        <v>2030</v>
      </c>
      <c r="L2" s="92" t="s">
        <v>177</v>
      </c>
      <c r="N2" s="61">
        <v>0.43540000000000001</v>
      </c>
      <c r="O2" s="61" t="s">
        <v>273</v>
      </c>
    </row>
    <row r="3" spans="1:15" s="60" customFormat="1" ht="72.599999999999994" x14ac:dyDescent="0.35">
      <c r="A3" s="105" t="s">
        <v>169</v>
      </c>
      <c r="B3" s="63">
        <v>452724.69194601459</v>
      </c>
      <c r="C3" s="63">
        <v>454837.81155685167</v>
      </c>
      <c r="D3" s="63">
        <v>457545.7277156217</v>
      </c>
      <c r="E3" s="63">
        <v>460769.41599999997</v>
      </c>
      <c r="F3" s="63">
        <v>464247.29600000003</v>
      </c>
      <c r="G3" s="63">
        <v>467923.91199999995</v>
      </c>
      <c r="H3" s="67">
        <f>AVERAGE(E3:G3)*(1+$N$9)</f>
        <v>466205.21217514947</v>
      </c>
      <c r="I3" s="67">
        <f>H3*(1+$N$9)</f>
        <v>468104.58991813305</v>
      </c>
      <c r="J3" s="67">
        <f t="shared" ref="I3:K4" si="0">I3*(1+$N$9)</f>
        <v>470011.70596115349</v>
      </c>
      <c r="K3" s="67">
        <f t="shared" si="0"/>
        <v>471926.59183100297</v>
      </c>
      <c r="L3" s="89" t="s">
        <v>272</v>
      </c>
      <c r="N3" s="64">
        <v>0.91839999999999999</v>
      </c>
      <c r="O3" s="9" t="s">
        <v>203</v>
      </c>
    </row>
    <row r="4" spans="1:15" s="60" customFormat="1" ht="57.6" x14ac:dyDescent="0.3">
      <c r="A4" s="105" t="s">
        <v>170</v>
      </c>
      <c r="B4" s="63">
        <f>SUMIFS('Form 1.1c'!J:J, 'Form 1.1c'!$B:$B, "City of Lodi")*1000</f>
        <v>460000</v>
      </c>
      <c r="C4" s="63">
        <f>SUMIFS('Form 1.1c'!K:K, 'Form 1.1c'!$B:$B, "City of Lodi")*1000</f>
        <v>463000</v>
      </c>
      <c r="D4" s="63">
        <f>SUMIFS('Form 1.1c'!L:L, 'Form 1.1c'!$B:$B, "City of Lodi")*1000</f>
        <v>466000</v>
      </c>
      <c r="E4" s="63">
        <f>SUMIFS('Form 1.1c'!M:M, 'Form 1.1c'!$B:$B, "City of Lodi")*1000</f>
        <v>468000</v>
      </c>
      <c r="F4" s="63">
        <f>SUMIFS('Form 1.1c'!N:N, 'Form 1.1c'!$B:$B, "City of Lodi")*1000</f>
        <v>470000</v>
      </c>
      <c r="G4" s="63">
        <f>SUMIFS('Form 1.1c'!O:O, 'Form 1.1c'!$B:$B, "City of Lodi")*1000</f>
        <v>472000</v>
      </c>
      <c r="H4" s="67">
        <f>AVERAGE(E4:G4)*(1+$N$9)</f>
        <v>471914.83817831473</v>
      </c>
      <c r="I4" s="63">
        <f t="shared" si="0"/>
        <v>473837.47764439357</v>
      </c>
      <c r="J4" s="63">
        <f t="shared" si="0"/>
        <v>475767.95018164854</v>
      </c>
      <c r="K4" s="63">
        <f t="shared" si="0"/>
        <v>477706.28770298121</v>
      </c>
      <c r="L4" s="89" t="s">
        <v>222</v>
      </c>
      <c r="N4" s="70">
        <f>0.15</f>
        <v>0.15</v>
      </c>
      <c r="O4" s="61" t="s">
        <v>166</v>
      </c>
    </row>
    <row r="5" spans="1:15" s="60" customFormat="1" ht="28.9" x14ac:dyDescent="0.3">
      <c r="A5" s="105" t="s">
        <v>194</v>
      </c>
      <c r="B5" s="63">
        <f t="shared" ref="B5:K5" si="1">IF(AND(0&lt;(B3-B4)/B3,(B3-B4)/B3&lt;$N$4),B4,B3*(1-$N$5))</f>
        <v>421033.96350979351</v>
      </c>
      <c r="C5" s="63">
        <f t="shared" si="1"/>
        <v>422999.16474787204</v>
      </c>
      <c r="D5" s="63">
        <f t="shared" si="1"/>
        <v>425517.52677552815</v>
      </c>
      <c r="E5" s="63">
        <f t="shared" si="1"/>
        <v>428515.55687999993</v>
      </c>
      <c r="F5" s="63">
        <f t="shared" si="1"/>
        <v>431749.98528000002</v>
      </c>
      <c r="G5" s="63">
        <f t="shared" si="1"/>
        <v>435169.23815999995</v>
      </c>
      <c r="H5" s="63">
        <f t="shared" si="1"/>
        <v>433570.84732288896</v>
      </c>
      <c r="I5" s="63">
        <f t="shared" si="1"/>
        <v>435337.2686238637</v>
      </c>
      <c r="J5" s="63">
        <f t="shared" si="1"/>
        <v>437110.88654387271</v>
      </c>
      <c r="K5" s="63">
        <f t="shared" si="1"/>
        <v>438891.73040283273</v>
      </c>
      <c r="L5" s="89" t="s">
        <v>271</v>
      </c>
      <c r="N5" s="70">
        <f>0.07</f>
        <v>7.0000000000000007E-2</v>
      </c>
      <c r="O5" s="61" t="s">
        <v>270</v>
      </c>
    </row>
    <row r="6" spans="1:15" s="60" customFormat="1" ht="14.45" x14ac:dyDescent="0.3">
      <c r="A6" s="105" t="s">
        <v>171</v>
      </c>
      <c r="B6" s="63">
        <v>0</v>
      </c>
      <c r="C6" s="63">
        <v>0</v>
      </c>
      <c r="D6" s="63">
        <v>0</v>
      </c>
      <c r="E6" s="63">
        <v>0</v>
      </c>
      <c r="F6" s="63">
        <v>0</v>
      </c>
      <c r="G6" s="63">
        <v>0</v>
      </c>
      <c r="H6" s="63">
        <v>0</v>
      </c>
      <c r="I6" s="63">
        <v>0</v>
      </c>
      <c r="J6" s="63">
        <v>0</v>
      </c>
      <c r="K6" s="63">
        <v>0</v>
      </c>
      <c r="L6" s="120" t="s">
        <v>269</v>
      </c>
      <c r="N6" s="65">
        <v>0.05</v>
      </c>
      <c r="O6" s="61" t="s">
        <v>268</v>
      </c>
    </row>
    <row r="7" spans="1:15" s="60" customFormat="1" ht="14.45" x14ac:dyDescent="0.3">
      <c r="A7" s="105" t="s">
        <v>172</v>
      </c>
      <c r="B7" s="63">
        <v>0</v>
      </c>
      <c r="C7" s="63">
        <v>0</v>
      </c>
      <c r="D7" s="63">
        <v>0</v>
      </c>
      <c r="E7" s="63">
        <v>0</v>
      </c>
      <c r="F7" s="63">
        <v>0</v>
      </c>
      <c r="G7" s="63">
        <v>0</v>
      </c>
      <c r="H7" s="63">
        <v>0</v>
      </c>
      <c r="I7" s="63">
        <v>0</v>
      </c>
      <c r="J7" s="63">
        <v>0</v>
      </c>
      <c r="K7" s="63">
        <v>0</v>
      </c>
      <c r="L7" s="120" t="s">
        <v>267</v>
      </c>
      <c r="N7" s="86">
        <v>0.85099999999999998</v>
      </c>
      <c r="O7" s="61" t="s">
        <v>168</v>
      </c>
    </row>
    <row r="8" spans="1:15" s="60" customFormat="1" ht="43.15" x14ac:dyDescent="0.3">
      <c r="A8" s="105" t="s">
        <v>173</v>
      </c>
      <c r="B8" s="63">
        <v>59607</v>
      </c>
      <c r="C8" s="63">
        <v>60084</v>
      </c>
      <c r="D8" s="63">
        <v>60080</v>
      </c>
      <c r="E8" s="63">
        <v>60128</v>
      </c>
      <c r="F8" s="63">
        <v>60256</v>
      </c>
      <c r="G8" s="63">
        <v>60184</v>
      </c>
      <c r="H8" s="67">
        <f>AVERAGE(E8:G8)</f>
        <v>60189.333333333336</v>
      </c>
      <c r="I8" s="67">
        <f t="shared" ref="I8:K8" si="2">H8</f>
        <v>60189.333333333336</v>
      </c>
      <c r="J8" s="67">
        <f t="shared" si="2"/>
        <v>60189.333333333336</v>
      </c>
      <c r="K8" s="67">
        <f t="shared" si="2"/>
        <v>60189.333333333336</v>
      </c>
      <c r="L8" s="89" t="s">
        <v>266</v>
      </c>
    </row>
    <row r="9" spans="1:15" s="60" customFormat="1" ht="28.9" x14ac:dyDescent="0.3">
      <c r="A9" s="105" t="s">
        <v>153</v>
      </c>
      <c r="B9" s="73">
        <v>0.34</v>
      </c>
      <c r="C9" s="59">
        <v>0.36</v>
      </c>
      <c r="D9" s="59">
        <v>0.37</v>
      </c>
      <c r="E9" s="59">
        <v>0.39</v>
      </c>
      <c r="F9" s="59">
        <v>0.41</v>
      </c>
      <c r="G9" s="59">
        <v>0.42</v>
      </c>
      <c r="H9" s="59">
        <v>0.44</v>
      </c>
      <c r="I9" s="59">
        <v>0.46</v>
      </c>
      <c r="J9" s="59">
        <v>0.48</v>
      </c>
      <c r="K9" s="59">
        <v>0.5</v>
      </c>
      <c r="L9" s="89" t="s">
        <v>248</v>
      </c>
      <c r="N9" s="66">
        <v>4.0741237836483535E-3</v>
      </c>
      <c r="O9" s="89" t="s">
        <v>206</v>
      </c>
    </row>
    <row r="10" spans="1:15" s="60" customFormat="1" ht="15.6" x14ac:dyDescent="0.3">
      <c r="A10" s="105" t="s">
        <v>174</v>
      </c>
      <c r="B10" s="63">
        <f t="shared" ref="B10:K10" si="3">B5*B9</f>
        <v>143151.5475933298</v>
      </c>
      <c r="C10" s="63">
        <f t="shared" si="3"/>
        <v>152279.69930923393</v>
      </c>
      <c r="D10" s="63">
        <f t="shared" si="3"/>
        <v>157441.48490694541</v>
      </c>
      <c r="E10" s="63">
        <f t="shared" si="3"/>
        <v>167121.06718319998</v>
      </c>
      <c r="F10" s="63">
        <f t="shared" si="3"/>
        <v>177017.4939648</v>
      </c>
      <c r="G10" s="63">
        <f t="shared" si="3"/>
        <v>182771.08002719996</v>
      </c>
      <c r="H10" s="63">
        <f t="shared" si="3"/>
        <v>190771.17282207115</v>
      </c>
      <c r="I10" s="63">
        <f t="shared" si="3"/>
        <v>200255.14356697732</v>
      </c>
      <c r="J10" s="63">
        <f t="shared" si="3"/>
        <v>209813.2255410589</v>
      </c>
      <c r="K10" s="63">
        <f t="shared" si="3"/>
        <v>219445.86520141637</v>
      </c>
      <c r="L10" s="89" t="s">
        <v>207</v>
      </c>
      <c r="N10" s="68"/>
      <c r="O10" s="62"/>
    </row>
    <row r="11" spans="1:15" s="60" customFormat="1" ht="28.9" x14ac:dyDescent="0.3">
      <c r="A11" s="105" t="s">
        <v>175</v>
      </c>
      <c r="B11" s="63">
        <f t="shared" ref="B11:K11" si="4">MAX(B3-SUM(B6:B8,B10), B3*$N$6)</f>
        <v>249966.14435268479</v>
      </c>
      <c r="C11" s="63">
        <f t="shared" si="4"/>
        <v>242474.11224761774</v>
      </c>
      <c r="D11" s="63">
        <f t="shared" si="4"/>
        <v>240024.2428086763</v>
      </c>
      <c r="E11" s="63">
        <f t="shared" si="4"/>
        <v>233520.34881679999</v>
      </c>
      <c r="F11" s="63">
        <f t="shared" si="4"/>
        <v>226973.80203520003</v>
      </c>
      <c r="G11" s="63">
        <f t="shared" si="4"/>
        <v>224968.83197279999</v>
      </c>
      <c r="H11" s="63">
        <f t="shared" si="4"/>
        <v>215244.70601974498</v>
      </c>
      <c r="I11" s="63">
        <f t="shared" si="4"/>
        <v>207660.11301782238</v>
      </c>
      <c r="J11" s="63">
        <f t="shared" si="4"/>
        <v>200009.14708676125</v>
      </c>
      <c r="K11" s="63">
        <f t="shared" si="4"/>
        <v>192291.39329625329</v>
      </c>
      <c r="L11" s="89" t="s">
        <v>208</v>
      </c>
      <c r="N11" s="68"/>
      <c r="O11" s="62"/>
    </row>
    <row r="12" spans="1:15" s="60" customFormat="1" ht="43.9" x14ac:dyDescent="0.35">
      <c r="A12" s="105" t="s">
        <v>197</v>
      </c>
      <c r="B12" s="63">
        <f t="shared" ref="B12:K12" si="5">B6*$N$3+B11*$N$2</f>
        <v>108835.25925115896</v>
      </c>
      <c r="C12" s="63">
        <f t="shared" si="5"/>
        <v>105573.22847261277</v>
      </c>
      <c r="D12" s="63">
        <f t="shared" si="5"/>
        <v>104506.55531889766</v>
      </c>
      <c r="E12" s="63">
        <f t="shared" si="5"/>
        <v>101674.75987483472</v>
      </c>
      <c r="F12" s="63">
        <f t="shared" si="5"/>
        <v>98824.393406126095</v>
      </c>
      <c r="G12" s="63">
        <f t="shared" si="5"/>
        <v>97951.429440957116</v>
      </c>
      <c r="H12" s="63">
        <f t="shared" si="5"/>
        <v>93717.545000996965</v>
      </c>
      <c r="I12" s="63">
        <f t="shared" si="5"/>
        <v>90415.213207959867</v>
      </c>
      <c r="J12" s="63">
        <f t="shared" si="5"/>
        <v>87083.982641575858</v>
      </c>
      <c r="K12" s="63">
        <f t="shared" si="5"/>
        <v>83723.672641188678</v>
      </c>
      <c r="L12" s="108" t="s">
        <v>209</v>
      </c>
    </row>
    <row r="13" spans="1:15" s="60" customFormat="1" ht="86.45" x14ac:dyDescent="0.3">
      <c r="A13" s="105"/>
      <c r="B13" s="146" t="s">
        <v>210</v>
      </c>
      <c r="C13" s="147"/>
      <c r="D13" s="147"/>
      <c r="E13" s="147"/>
      <c r="F13" s="147"/>
      <c r="G13" s="147"/>
      <c r="H13" s="147"/>
      <c r="I13" s="147"/>
      <c r="J13" s="148"/>
      <c r="K13" s="87">
        <v>0</v>
      </c>
      <c r="L13" s="108" t="s">
        <v>216</v>
      </c>
    </row>
    <row r="14" spans="1:15" s="60" customFormat="1"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row>
    <row r="15" spans="1:15"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5" s="60" customFormat="1" ht="30" x14ac:dyDescent="0.35">
      <c r="A16" s="105" t="s">
        <v>199</v>
      </c>
      <c r="B16" s="82">
        <f>B12/B3</f>
        <v>0.24040053742890852</v>
      </c>
      <c r="C16" s="82">
        <f t="shared" ref="C16:K16" si="7">C12/C3</f>
        <v>0.23211181170547168</v>
      </c>
      <c r="D16" s="82">
        <f t="shared" si="7"/>
        <v>0.22840679955786103</v>
      </c>
      <c r="E16" s="82">
        <f t="shared" si="7"/>
        <v>0.22066299616299778</v>
      </c>
      <c r="F16" s="82">
        <f t="shared" si="7"/>
        <v>0.21287015402697379</v>
      </c>
      <c r="G16" s="82">
        <f t="shared" si="7"/>
        <v>0.20933195959636516</v>
      </c>
      <c r="H16" s="82">
        <f t="shared" si="7"/>
        <v>0.20102208759902937</v>
      </c>
      <c r="I16" s="82">
        <f t="shared" si="7"/>
        <v>0.19315173393999963</v>
      </c>
      <c r="J16" s="82">
        <f t="shared" si="7"/>
        <v>0.18528045479950953</v>
      </c>
      <c r="K16" s="82">
        <f t="shared" si="7"/>
        <v>0.1774082539327857</v>
      </c>
      <c r="L16" s="89" t="s">
        <v>212</v>
      </c>
    </row>
    <row r="17" spans="1:15"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5" ht="43.9" thickBot="1" x14ac:dyDescent="0.35">
      <c r="A18" s="128" t="s">
        <v>201</v>
      </c>
      <c r="B18" s="84">
        <f t="shared" ref="B18:K18" si="9">B12*(B14/$N$7)-B17</f>
        <v>104486.96452197047</v>
      </c>
      <c r="C18" s="84">
        <f t="shared" si="9"/>
        <v>97137.294822627257</v>
      </c>
      <c r="D18" s="84">
        <f t="shared" si="9"/>
        <v>91980.50521016962</v>
      </c>
      <c r="E18" s="84">
        <f t="shared" si="9"/>
        <v>85425.914583439284</v>
      </c>
      <c r="F18" s="84">
        <f t="shared" si="9"/>
        <v>79082.740199261898</v>
      </c>
      <c r="G18" s="84">
        <f t="shared" si="9"/>
        <v>74470.710750057886</v>
      </c>
      <c r="H18" s="84">
        <f t="shared" si="9"/>
        <v>67617.594160531298</v>
      </c>
      <c r="I18" s="84">
        <f t="shared" si="9"/>
        <v>61622.589495436805</v>
      </c>
      <c r="J18" s="84">
        <f t="shared" si="9"/>
        <v>55872.919532667947</v>
      </c>
      <c r="K18" s="84">
        <f t="shared" si="9"/>
        <v>50273.556662335388</v>
      </c>
      <c r="L18" s="93" t="s">
        <v>214</v>
      </c>
      <c r="M18" s="60"/>
      <c r="N18" s="60"/>
      <c r="O18" s="60"/>
    </row>
    <row r="19" spans="1:15" ht="15.75" x14ac:dyDescent="0.25">
      <c r="A19" s="85"/>
      <c r="B19" s="85"/>
      <c r="C19" s="85"/>
      <c r="D19" s="85"/>
      <c r="E19" s="85"/>
      <c r="F19" s="85"/>
      <c r="G19" s="85"/>
      <c r="H19" s="85"/>
      <c r="I19" s="85"/>
      <c r="J19" s="85"/>
      <c r="K19" s="85"/>
      <c r="O19" s="4"/>
    </row>
  </sheetData>
  <mergeCells count="3">
    <mergeCell ref="B1:L1"/>
    <mergeCell ref="N1:O1"/>
    <mergeCell ref="B13:J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pane ySplit="2" topLeftCell="A3" activePane="bottomLeft" state="frozen"/>
      <selection activeCell="C13" sqref="C13:K13"/>
      <selection pane="bottomLeft" sqref="A1:A2"/>
    </sheetView>
  </sheetViews>
  <sheetFormatPr defaultColWidth="8.85546875" defaultRowHeight="14.25" x14ac:dyDescent="0.2"/>
  <cols>
    <col min="1" max="1" width="40.28515625" style="98" customWidth="1"/>
    <col min="2" max="11" width="10.7109375" style="99" customWidth="1"/>
    <col min="12" max="12" width="4.5703125" style="95" customWidth="1"/>
    <col min="13" max="16384" width="8.85546875" style="95"/>
  </cols>
  <sheetData>
    <row r="1" spans="1:11" ht="15" x14ac:dyDescent="0.2">
      <c r="A1" s="139" t="s">
        <v>180</v>
      </c>
      <c r="B1" s="138" t="s">
        <v>195</v>
      </c>
      <c r="C1" s="138"/>
      <c r="D1" s="138"/>
      <c r="E1" s="138"/>
      <c r="F1" s="138"/>
      <c r="G1" s="138"/>
      <c r="H1" s="138"/>
      <c r="I1" s="138"/>
      <c r="J1" s="138"/>
      <c r="K1" s="138"/>
    </row>
    <row r="2" spans="1:11" s="96" customFormat="1" ht="15" x14ac:dyDescent="0.2">
      <c r="A2" s="140"/>
      <c r="B2" s="97">
        <v>2021</v>
      </c>
      <c r="C2" s="97">
        <v>2022</v>
      </c>
      <c r="D2" s="97">
        <v>2023</v>
      </c>
      <c r="E2" s="97">
        <v>2024</v>
      </c>
      <c r="F2" s="97">
        <v>2025</v>
      </c>
      <c r="G2" s="97">
        <v>2026</v>
      </c>
      <c r="H2" s="97">
        <v>2027</v>
      </c>
      <c r="I2" s="97">
        <v>2028</v>
      </c>
      <c r="J2" s="97">
        <v>2029</v>
      </c>
      <c r="K2" s="97">
        <v>2030</v>
      </c>
    </row>
    <row r="3" spans="1:11" ht="13.9" x14ac:dyDescent="0.25">
      <c r="A3" s="100" t="s">
        <v>13</v>
      </c>
      <c r="B3" s="101">
        <v>71138.196632851963</v>
      </c>
      <c r="C3" s="101">
        <v>65198.629759683456</v>
      </c>
      <c r="D3" s="101">
        <v>60890.897216227677</v>
      </c>
      <c r="E3" s="101">
        <v>55521.880161512738</v>
      </c>
      <c r="F3" s="101">
        <v>50417.13185636689</v>
      </c>
      <c r="G3" s="101">
        <v>46676.035673648701</v>
      </c>
      <c r="H3" s="101">
        <v>42697.438402581836</v>
      </c>
      <c r="I3" s="101">
        <v>38655.024347047394</v>
      </c>
      <c r="J3" s="101">
        <v>34795.436473101865</v>
      </c>
      <c r="K3" s="101">
        <v>31060.408096626157</v>
      </c>
    </row>
    <row r="4" spans="1:11" ht="13.9" x14ac:dyDescent="0.25">
      <c r="A4" s="100" t="s">
        <v>31</v>
      </c>
      <c r="B4" s="101">
        <f>Anza!B$18</f>
        <v>16006.082212135803</v>
      </c>
      <c r="C4" s="101">
        <f>Anza!C$18</f>
        <v>15022.871420486075</v>
      </c>
      <c r="D4" s="101">
        <f>Anza!D$18</f>
        <v>14262.998228768995</v>
      </c>
      <c r="E4" s="101">
        <f>Anza!E$18</f>
        <v>13326.665707255925</v>
      </c>
      <c r="F4" s="101">
        <f>Anza!F$18</f>
        <v>12418.136604961424</v>
      </c>
      <c r="G4" s="101">
        <f>Anza!G$18</f>
        <v>11706.186516326679</v>
      </c>
      <c r="H4" s="101">
        <f>Anza!H$18</f>
        <v>10832.992044730698</v>
      </c>
      <c r="I4" s="101">
        <f>Anza!I$18</f>
        <v>9969.9660882822045</v>
      </c>
      <c r="J4" s="101">
        <f>Anza!J$18</f>
        <v>9135.5957143765336</v>
      </c>
      <c r="K4" s="101">
        <f>Anza!K$18</f>
        <v>8314.0082544000488</v>
      </c>
    </row>
    <row r="5" spans="1:11" ht="26.45" x14ac:dyDescent="0.25">
      <c r="A5" s="100" t="s">
        <v>178</v>
      </c>
      <c r="B5" s="101">
        <f>CCSF!B$18</f>
        <v>23909.855417156286</v>
      </c>
      <c r="C5" s="101">
        <f>CCSF!C$18</f>
        <v>23095.104853113986</v>
      </c>
      <c r="D5" s="101">
        <f>CCSF!D$18</f>
        <v>22245.537638072856</v>
      </c>
      <c r="E5" s="101">
        <f>CCSF!E$18</f>
        <v>21327.181316098708</v>
      </c>
      <c r="F5" s="101">
        <f>CCSF!F$18</f>
        <v>20292.410632559979</v>
      </c>
      <c r="G5" s="101">
        <f>CCSF!G$18</f>
        <v>19359.337123419631</v>
      </c>
      <c r="H5" s="101">
        <f>CCSF!H$18</f>
        <v>18448.210486010714</v>
      </c>
      <c r="I5" s="101">
        <f>CCSF!I$18</f>
        <v>17499.012421610329</v>
      </c>
      <c r="J5" s="101">
        <f>CCSF!J$18</f>
        <v>16541.613169183958</v>
      </c>
      <c r="K5" s="101">
        <f>CCSF!K$18</f>
        <v>15545.539186369211</v>
      </c>
    </row>
    <row r="6" spans="1:11" ht="13.9" x14ac:dyDescent="0.25">
      <c r="A6" s="100" t="s">
        <v>179</v>
      </c>
      <c r="B6" s="101">
        <f>Anaheim!B$18</f>
        <v>1441825.7887938896</v>
      </c>
      <c r="C6" s="101">
        <f>Anaheim!C$18</f>
        <v>1348990.6913682725</v>
      </c>
      <c r="D6" s="101">
        <f>Anaheim!D$18</f>
        <v>1274772.5118204467</v>
      </c>
      <c r="E6" s="101">
        <f>Anaheim!E$18</f>
        <v>1181624.7544393889</v>
      </c>
      <c r="F6" s="101">
        <f>Anaheim!F$18</f>
        <v>1093792.2996688322</v>
      </c>
      <c r="G6" s="101">
        <f>Anaheim!G$18</f>
        <v>1022926.0857873624</v>
      </c>
      <c r="H6" s="101">
        <f>Anaheim!H$18</f>
        <v>712041.7717727269</v>
      </c>
      <c r="I6" s="101">
        <f>Anaheim!I$18</f>
        <v>428905.09731795866</v>
      </c>
      <c r="J6" s="101">
        <f>Anaheim!J$18</f>
        <v>391675.21267017216</v>
      </c>
      <c r="K6" s="101">
        <f>Anaheim!K$18</f>
        <v>355156.75470716064</v>
      </c>
    </row>
    <row r="7" spans="1:11" ht="13.9" x14ac:dyDescent="0.25">
      <c r="A7" s="100" t="s">
        <v>181</v>
      </c>
      <c r="B7" s="101">
        <f>Azusa!B$18</f>
        <v>66533.599918725289</v>
      </c>
      <c r="C7" s="101">
        <f>Azusa!C$18</f>
        <v>61945.213330991508</v>
      </c>
      <c r="D7" s="101">
        <f>Azusa!D$18</f>
        <v>58524.45666128266</v>
      </c>
      <c r="E7" s="101">
        <f>Azusa!E$18</f>
        <v>54184.037248478278</v>
      </c>
      <c r="F7" s="101">
        <f>Azusa!F$18</f>
        <v>49991.428335874109</v>
      </c>
      <c r="G7" s="101">
        <f>Azusa!G$18</f>
        <v>46981.28571085279</v>
      </c>
      <c r="H7" s="101">
        <f>Azusa!H$18</f>
        <v>43147.016109591888</v>
      </c>
      <c r="I7" s="101">
        <f>Azusa!I$18</f>
        <v>39345.523025779599</v>
      </c>
      <c r="J7" s="101">
        <f>Azusa!J$18</f>
        <v>35697.929951211088</v>
      </c>
      <c r="K7" s="101">
        <f>Azusa!K$18</f>
        <v>32143.445746315138</v>
      </c>
    </row>
    <row r="8" spans="1:11" ht="13.9" x14ac:dyDescent="0.25">
      <c r="A8" s="100" t="s">
        <v>65</v>
      </c>
      <c r="B8" s="101">
        <f>Banning!B$18</f>
        <v>34675.609786976711</v>
      </c>
      <c r="C8" s="101">
        <f>Banning!C$18</f>
        <v>32266.12339870822</v>
      </c>
      <c r="D8" s="101">
        <f>Banning!D$18</f>
        <v>30478.56425595477</v>
      </c>
      <c r="E8" s="101">
        <f>Banning!E$18</f>
        <v>28198.831354814032</v>
      </c>
      <c r="F8" s="101">
        <f>Banning!F$18</f>
        <v>25996.730194360862</v>
      </c>
      <c r="G8" s="101">
        <f>Banning!G$18</f>
        <v>24351.060147776014</v>
      </c>
      <c r="H8" s="101">
        <f>Banning!H$18</f>
        <v>22320.617897607513</v>
      </c>
      <c r="I8" s="101">
        <f>Banning!I$18</f>
        <v>20333.266683902464</v>
      </c>
      <c r="J8" s="101">
        <f>Banning!J$18</f>
        <v>18427.763112635257</v>
      </c>
      <c r="K8" s="101">
        <f>Banning!K$18</f>
        <v>16572.804350844577</v>
      </c>
    </row>
    <row r="9" spans="1:11" ht="13.9" x14ac:dyDescent="0.25">
      <c r="A9" s="100" t="s">
        <v>44</v>
      </c>
      <c r="B9" s="101">
        <v>2432.2604640648674</v>
      </c>
      <c r="C9" s="101">
        <v>2208.3700125054133</v>
      </c>
      <c r="D9" s="101">
        <v>2053.5280002782033</v>
      </c>
      <c r="E9" s="101">
        <v>1850.3106484198406</v>
      </c>
      <c r="F9" s="101">
        <v>1658.0007482913538</v>
      </c>
      <c r="G9" s="101">
        <v>1525.6651413713323</v>
      </c>
      <c r="H9" s="101">
        <v>1365.9618885544246</v>
      </c>
      <c r="I9" s="101">
        <v>1212.290913428222</v>
      </c>
      <c r="J9" s="101">
        <v>1067.1256213759414</v>
      </c>
      <c r="K9" s="101">
        <v>928.76478857633276</v>
      </c>
    </row>
    <row r="10" spans="1:11" ht="13.9" x14ac:dyDescent="0.25">
      <c r="A10" s="100" t="s">
        <v>92</v>
      </c>
      <c r="B10" s="101">
        <f>Burbank!B$18</f>
        <v>530854.46146650997</v>
      </c>
      <c r="C10" s="101">
        <f>Burbank!C$18</f>
        <v>502585.20922209165</v>
      </c>
      <c r="D10" s="101">
        <f>Burbank!D$18</f>
        <v>477174.70844653348</v>
      </c>
      <c r="E10" s="101">
        <f>Burbank!E$18</f>
        <v>447948.79388954176</v>
      </c>
      <c r="F10" s="101">
        <f>Burbank!F$18</f>
        <v>419592.18024676852</v>
      </c>
      <c r="G10" s="101">
        <f>Burbank!G$18</f>
        <v>395501.93403995299</v>
      </c>
      <c r="H10" s="101">
        <f>Burbank!H$18</f>
        <v>283501.8242465955</v>
      </c>
      <c r="I10" s="101">
        <f>Burbank!I$18</f>
        <v>181740.87544347937</v>
      </c>
      <c r="J10" s="101">
        <f>Burbank!J$18</f>
        <v>165032.09035902494</v>
      </c>
      <c r="K10" s="101">
        <f>Burbank!K$18</f>
        <v>148756.44215018858</v>
      </c>
    </row>
    <row r="11" spans="1:11" ht="13.9" x14ac:dyDescent="0.25">
      <c r="A11" s="100" t="s">
        <v>14</v>
      </c>
      <c r="B11" s="101">
        <f>Cerritos!B$18</f>
        <v>23619.768835400624</v>
      </c>
      <c r="C11" s="101">
        <f>Cerritos!C$18</f>
        <v>22103.727054028644</v>
      </c>
      <c r="D11" s="101">
        <f>Cerritos!D$18</f>
        <v>20814.641613304786</v>
      </c>
      <c r="E11" s="101">
        <f>Cerritos!E$18</f>
        <v>19376.726964564965</v>
      </c>
      <c r="F11" s="101">
        <f>Cerritos!F$18</f>
        <v>17986.208384546313</v>
      </c>
      <c r="G11" s="101">
        <f>Cerritos!G$18</f>
        <v>16924.385143704272</v>
      </c>
      <c r="H11" s="101">
        <f>Cerritos!H$18</f>
        <v>15590.878358041557</v>
      </c>
      <c r="I11" s="101">
        <f>Cerritos!I$18</f>
        <v>14279.39280973062</v>
      </c>
      <c r="J11" s="101">
        <f>Cerritos!J$18</f>
        <v>13016.750206567685</v>
      </c>
      <c r="K11" s="101">
        <f>Cerritos!K$18</f>
        <v>11780.565707521633</v>
      </c>
    </row>
    <row r="12" spans="1:11" ht="13.9" x14ac:dyDescent="0.25">
      <c r="A12" s="100" t="s">
        <v>66</v>
      </c>
      <c r="B12" s="101">
        <f>Colton!B$18</f>
        <v>98668.228072786995</v>
      </c>
      <c r="C12" s="101">
        <f>Colton!C$18</f>
        <v>91947.696040628507</v>
      </c>
      <c r="D12" s="101">
        <f>Colton!D$18</f>
        <v>86997.206340912904</v>
      </c>
      <c r="E12" s="101">
        <f>Colton!E$18</f>
        <v>80764.23646448004</v>
      </c>
      <c r="F12" s="101">
        <f>Colton!F$18</f>
        <v>74736.803621107611</v>
      </c>
      <c r="G12" s="101">
        <f>Colton!G$18</f>
        <v>70297.045792460573</v>
      </c>
      <c r="H12" s="101">
        <f>Colton!H$18</f>
        <v>64700.456394513923</v>
      </c>
      <c r="I12" s="101">
        <f>Colton!I$18</f>
        <v>59159.285618588976</v>
      </c>
      <c r="J12" s="101">
        <f>Colton!J$18</f>
        <v>53831.508025325769</v>
      </c>
      <c r="K12" s="101">
        <f>Colton!K$18</f>
        <v>48624.90042502337</v>
      </c>
    </row>
    <row r="13" spans="1:11" ht="13.9" x14ac:dyDescent="0.25">
      <c r="A13" s="100" t="s">
        <v>182</v>
      </c>
      <c r="B13" s="101">
        <f>Corona!B$18</f>
        <v>39326.664666653916</v>
      </c>
      <c r="C13" s="101">
        <f>Corona!C$18</f>
        <v>36567.666627757382</v>
      </c>
      <c r="D13" s="101">
        <f>Corona!D$18</f>
        <v>34631.421004533666</v>
      </c>
      <c r="E13" s="101">
        <f>Corona!E$18</f>
        <v>32018.079864956318</v>
      </c>
      <c r="F13" s="101">
        <f>Corona!F$18</f>
        <v>29633.607220384496</v>
      </c>
      <c r="G13" s="101">
        <f>Corona!G$18</f>
        <v>27852.481597572489</v>
      </c>
      <c r="H13" s="101">
        <f>Corona!H$18</f>
        <v>25567.870878795035</v>
      </c>
      <c r="I13" s="101">
        <f>Corona!I$18</f>
        <v>23328.730601393672</v>
      </c>
      <c r="J13" s="101">
        <f>Corona!J$18</f>
        <v>21179.327667404661</v>
      </c>
      <c r="K13" s="101">
        <f>Corona!K$18</f>
        <v>19083.545189065455</v>
      </c>
    </row>
    <row r="14" spans="1:11" ht="13.9" x14ac:dyDescent="0.25">
      <c r="A14" s="100" t="s">
        <v>93</v>
      </c>
      <c r="B14" s="101">
        <f>Glendale!B$18</f>
        <v>401919.30405170389</v>
      </c>
      <c r="C14" s="101">
        <f>Glendale!C$18</f>
        <v>379176.01796474739</v>
      </c>
      <c r="D14" s="101">
        <f>Glendale!D$18</f>
        <v>359584.13763572264</v>
      </c>
      <c r="E14" s="101">
        <f>Glendale!E$18</f>
        <v>335985.10891891894</v>
      </c>
      <c r="F14" s="101">
        <f>Glendale!F$18</f>
        <v>313098.97991069336</v>
      </c>
      <c r="G14" s="101">
        <f>Glendale!G$18</f>
        <v>294064.06367097533</v>
      </c>
      <c r="H14" s="101">
        <f>Glendale!H$18</f>
        <v>227814.27494659671</v>
      </c>
      <c r="I14" s="101">
        <f>Glendale!I$18</f>
        <v>167269.69316995403</v>
      </c>
      <c r="J14" s="101">
        <f>Glendale!J$18</f>
        <v>151514.89534179625</v>
      </c>
      <c r="K14" s="101">
        <f>Glendale!K$18</f>
        <v>136205.44838914953</v>
      </c>
    </row>
    <row r="15" spans="1:11" ht="13.9" x14ac:dyDescent="0.25">
      <c r="A15" s="100" t="s">
        <v>46</v>
      </c>
      <c r="B15" s="101">
        <v>18876.505564348416</v>
      </c>
      <c r="C15" s="101">
        <v>17525.79028349894</v>
      </c>
      <c r="D15" s="101">
        <v>16648.191833455985</v>
      </c>
      <c r="E15" s="101">
        <v>15397.873725076382</v>
      </c>
      <c r="F15" s="101">
        <v>14288.270014984726</v>
      </c>
      <c r="G15" s="101">
        <v>13484.813327868393</v>
      </c>
      <c r="H15" s="101">
        <v>12216.121613064621</v>
      </c>
      <c r="I15" s="101">
        <v>11135.028395250383</v>
      </c>
      <c r="J15" s="101">
        <v>10098.032778850979</v>
      </c>
      <c r="K15" s="101">
        <v>9087.9548090931439</v>
      </c>
    </row>
    <row r="16" spans="1:11" ht="13.9" x14ac:dyDescent="0.25">
      <c r="A16" s="100" t="s">
        <v>15</v>
      </c>
      <c r="B16" s="101">
        <f>Industry!B$18</f>
        <v>10869.520950534725</v>
      </c>
      <c r="C16" s="101">
        <f>Industry!C$18</f>
        <v>10175.433588462032</v>
      </c>
      <c r="D16" s="101">
        <f>Industry!D$18</f>
        <v>9636.9152727803776</v>
      </c>
      <c r="E16" s="101">
        <f>Industry!E$18</f>
        <v>8975.2844824432741</v>
      </c>
      <c r="F16" s="101">
        <f>Industry!F$18</f>
        <v>8333.0725163424995</v>
      </c>
      <c r="G16" s="101">
        <f>Industry!G$18</f>
        <v>7830.0463768654072</v>
      </c>
      <c r="H16" s="101">
        <f>Industry!H$18</f>
        <v>7233.460798441406</v>
      </c>
      <c r="I16" s="101">
        <f>Industry!I$18</f>
        <v>6644.9664410626374</v>
      </c>
      <c r="J16" s="101">
        <f>Industry!J$18</f>
        <v>6076.9454747038526</v>
      </c>
      <c r="K16" s="101">
        <f>Industry!K$18</f>
        <v>5518.8802181516849</v>
      </c>
    </row>
    <row r="17" spans="1:11" ht="13.9" x14ac:dyDescent="0.25">
      <c r="A17" s="100" t="s">
        <v>48</v>
      </c>
      <c r="B17" s="101">
        <v>104486.96452197047</v>
      </c>
      <c r="C17" s="101">
        <v>97137.294822627257</v>
      </c>
      <c r="D17" s="101">
        <v>91980.50521016962</v>
      </c>
      <c r="E17" s="101">
        <v>85425.914583439284</v>
      </c>
      <c r="F17" s="101">
        <v>79082.740199261898</v>
      </c>
      <c r="G17" s="101">
        <v>74470.710750057886</v>
      </c>
      <c r="H17" s="101">
        <v>67617.594160531298</v>
      </c>
      <c r="I17" s="101">
        <v>61622.589495436805</v>
      </c>
      <c r="J17" s="101">
        <v>55872.919532667947</v>
      </c>
      <c r="K17" s="101">
        <v>50273.556662335388</v>
      </c>
    </row>
    <row r="18" spans="1:11" ht="13.9" x14ac:dyDescent="0.25">
      <c r="A18" s="100" t="s">
        <v>183</v>
      </c>
      <c r="B18" s="101">
        <v>32751.183102693467</v>
      </c>
      <c r="C18" s="101">
        <v>30340.900984628886</v>
      </c>
      <c r="D18" s="101">
        <v>28589.668737655953</v>
      </c>
      <c r="E18" s="101">
        <v>26382.208313332321</v>
      </c>
      <c r="F18" s="101">
        <v>24278.042326593921</v>
      </c>
      <c r="G18" s="101">
        <v>22700.940662277317</v>
      </c>
      <c r="H18" s="101">
        <v>20774.39395001857</v>
      </c>
      <c r="I18" s="101">
        <v>18946.303256311927</v>
      </c>
      <c r="J18" s="101">
        <v>17192.085995228797</v>
      </c>
      <c r="K18" s="101">
        <v>15482.454081159363</v>
      </c>
    </row>
    <row r="19" spans="1:11" ht="13.9" x14ac:dyDescent="0.25">
      <c r="A19" s="100" t="s">
        <v>184</v>
      </c>
      <c r="B19" s="101">
        <f>MorenoValley!B$18</f>
        <v>43203.804629900013</v>
      </c>
      <c r="C19" s="101">
        <f>MorenoValley!C$18</f>
        <v>40444.969633993765</v>
      </c>
      <c r="D19" s="101">
        <f>MorenoValley!D$18</f>
        <v>38304.485227531644</v>
      </c>
      <c r="E19" s="101">
        <f>MorenoValley!E$18</f>
        <v>35674.657516362422</v>
      </c>
      <c r="F19" s="101">
        <f>MorenoValley!F$18</f>
        <v>33122.015091671485</v>
      </c>
      <c r="G19" s="101">
        <f>MorenoValley!G$18</f>
        <v>31122.60378802687</v>
      </c>
      <c r="H19" s="101">
        <f>MorenoValley!H$18</f>
        <v>28751.315587512519</v>
      </c>
      <c r="I19" s="101">
        <f>MorenoValley!I$18</f>
        <v>26412.188099033821</v>
      </c>
      <c r="J19" s="101">
        <f>MorenoValley!J$18</f>
        <v>24154.437553454842</v>
      </c>
      <c r="K19" s="101">
        <f>MorenoValley!K$18</f>
        <v>21936.258626845505</v>
      </c>
    </row>
    <row r="20" spans="1:11" ht="13.9" x14ac:dyDescent="0.25">
      <c r="A20" s="100" t="s">
        <v>20</v>
      </c>
      <c r="B20" s="101">
        <f>Needles!B$18</f>
        <v>5755.6825648632775</v>
      </c>
      <c r="C20" s="101">
        <f>Needles!C$18</f>
        <v>5123.4644323823313</v>
      </c>
      <c r="D20" s="101">
        <f>Needles!D$18</f>
        <v>4871.6538139631675</v>
      </c>
      <c r="E20" s="101">
        <f>Needles!E$18</f>
        <v>4276.3377891257524</v>
      </c>
      <c r="F20" s="101">
        <f>Needles!F$18</f>
        <v>3846.8272761985131</v>
      </c>
      <c r="G20" s="101">
        <f>Needles!G$18</f>
        <v>3629.8328518064272</v>
      </c>
      <c r="H20" s="101">
        <f>Needles!H$18</f>
        <v>3182.6546664708139</v>
      </c>
      <c r="I20" s="101">
        <f>Needles!I$18</f>
        <v>2754.367887926112</v>
      </c>
      <c r="J20" s="101">
        <f>Needles!J$18</f>
        <v>2351.3258970932902</v>
      </c>
      <c r="K20" s="101">
        <f>Needles!K$18</f>
        <v>1970.428144090755</v>
      </c>
    </row>
    <row r="21" spans="1:11" ht="26.45" x14ac:dyDescent="0.25">
      <c r="A21" s="100" t="s">
        <v>185</v>
      </c>
      <c r="B21" s="101">
        <v>20285.380543399246</v>
      </c>
      <c r="C21" s="101">
        <v>18994.754021001943</v>
      </c>
      <c r="D21" s="101">
        <v>18025.317286348123</v>
      </c>
      <c r="E21" s="101">
        <v>16791.483636644756</v>
      </c>
      <c r="F21" s="101">
        <v>15567.887050502302</v>
      </c>
      <c r="G21" s="101">
        <v>14675.679614753588</v>
      </c>
      <c r="H21" s="101">
        <v>13326.611435036506</v>
      </c>
      <c r="I21" s="101">
        <v>12155.343880028013</v>
      </c>
      <c r="J21" s="101">
        <v>11031.286030227126</v>
      </c>
      <c r="K21" s="101">
        <v>9935.6442714993882</v>
      </c>
    </row>
    <row r="22" spans="1:11" ht="13.9" x14ac:dyDescent="0.25">
      <c r="A22" s="100" t="s">
        <v>49</v>
      </c>
      <c r="B22" s="101">
        <v>145719.79831143265</v>
      </c>
      <c r="C22" s="101">
        <v>131598.10065862365</v>
      </c>
      <c r="D22" s="101">
        <v>122249.7917187479</v>
      </c>
      <c r="E22" s="101">
        <v>109902.09297531152</v>
      </c>
      <c r="F22" s="101">
        <v>97835.581661074364</v>
      </c>
      <c r="G22" s="101">
        <v>89632.973144044794</v>
      </c>
      <c r="H22" s="101">
        <v>80381.236836039679</v>
      </c>
      <c r="I22" s="101">
        <v>71166.455222289995</v>
      </c>
      <c r="J22" s="101">
        <v>62470.683229582472</v>
      </c>
      <c r="K22" s="101">
        <v>54195.009082147611</v>
      </c>
    </row>
    <row r="23" spans="1:11" ht="13.9" x14ac:dyDescent="0.25">
      <c r="A23" s="100" t="s">
        <v>69</v>
      </c>
      <c r="B23" s="101">
        <f>RanchoCucamonga!B$18</f>
        <v>22361.568797782475</v>
      </c>
      <c r="C23" s="101">
        <f>RanchoCucamonga!C$18</f>
        <v>20933.641811000562</v>
      </c>
      <c r="D23" s="101">
        <f>RanchoCucamonga!D$18</f>
        <v>19825.762777528638</v>
      </c>
      <c r="E23" s="101">
        <f>RanchoCucamonga!E$18</f>
        <v>18464.60780996528</v>
      </c>
      <c r="F23" s="101">
        <f>RanchoCucamonga!F$18</f>
        <v>17143.40265951979</v>
      </c>
      <c r="G23" s="101">
        <f>RanchoCucamonga!G$18</f>
        <v>16108.54071149194</v>
      </c>
      <c r="H23" s="101">
        <f>RanchoCucamonga!H$18</f>
        <v>14881.201483166804</v>
      </c>
      <c r="I23" s="101">
        <f>RanchoCucamonga!I$18</f>
        <v>13670.508103070346</v>
      </c>
      <c r="J23" s="101">
        <f>RanchoCucamonga!J$18</f>
        <v>12501.934071554271</v>
      </c>
      <c r="K23" s="101">
        <f>RanchoCucamonga!K$18</f>
        <v>11353.84165010956</v>
      </c>
    </row>
    <row r="24" spans="1:11" ht="13.9" x14ac:dyDescent="0.25">
      <c r="A24" s="100" t="s">
        <v>23</v>
      </c>
      <c r="B24" s="101">
        <f>Riverside!B$18</f>
        <v>979899.83328451356</v>
      </c>
      <c r="C24" s="101">
        <f>Riverside!C$18</f>
        <v>925563.20997191989</v>
      </c>
      <c r="D24" s="101">
        <f>Riverside!D$18</f>
        <v>878757.44471520477</v>
      </c>
      <c r="E24" s="101">
        <f>Riverside!E$18</f>
        <v>819063.07137178618</v>
      </c>
      <c r="F24" s="101">
        <f>Riverside!F$18</f>
        <v>768205.09108122915</v>
      </c>
      <c r="G24" s="101">
        <f>Riverside!G$18</f>
        <v>722472.65205655852</v>
      </c>
      <c r="H24" s="101">
        <f>Riverside!H$18</f>
        <v>547319.39127388003</v>
      </c>
      <c r="I24" s="101">
        <f>Riverside!I$18</f>
        <v>387046.83795052074</v>
      </c>
      <c r="J24" s="101">
        <f>Riverside!J$18</f>
        <v>352746.94202452898</v>
      </c>
      <c r="K24" s="101">
        <f>Riverside!K$18</f>
        <v>319172.80346650083</v>
      </c>
    </row>
    <row r="25" spans="1:11" ht="13.9" x14ac:dyDescent="0.25">
      <c r="A25" s="100" t="s">
        <v>84</v>
      </c>
      <c r="B25" s="101">
        <f>Roseville!B$18</f>
        <v>305835.58046203287</v>
      </c>
      <c r="C25" s="101">
        <f>Roseville!C$18</f>
        <v>288054.01321119693</v>
      </c>
      <c r="D25" s="101">
        <f>Roseville!D$18</f>
        <v>274057.60022543272</v>
      </c>
      <c r="E25" s="101">
        <f>Roseville!E$18</f>
        <v>254634.66566411726</v>
      </c>
      <c r="F25" s="101">
        <f>Roseville!F$18</f>
        <v>236487.77209034114</v>
      </c>
      <c r="G25" s="101">
        <f>Roseville!G$18</f>
        <v>222959.40743992219</v>
      </c>
      <c r="H25" s="101">
        <f>Roseville!H$18</f>
        <v>203101.10106012924</v>
      </c>
      <c r="I25" s="101">
        <f>Roseville!I$18</f>
        <v>186227.97087447756</v>
      </c>
      <c r="J25" s="101">
        <f>Roseville!J$18</f>
        <v>169876.37390972831</v>
      </c>
      <c r="K25" s="101">
        <f>Roseville!K$18</f>
        <v>153769.02097413677</v>
      </c>
    </row>
    <row r="26" spans="1:11" ht="13.9" x14ac:dyDescent="0.25">
      <c r="A26" s="100" t="s">
        <v>85</v>
      </c>
      <c r="B26" s="101">
        <f>ShastaLake!B$18</f>
        <v>59231.232737955346</v>
      </c>
      <c r="C26" s="101">
        <f>ShastaLake!C$18</f>
        <v>55572.470862514689</v>
      </c>
      <c r="D26" s="101">
        <f>ShastaLake!D$18</f>
        <v>53266.662044653349</v>
      </c>
      <c r="E26" s="101">
        <f>ShastaLake!E$18</f>
        <v>49831.70907168038</v>
      </c>
      <c r="F26" s="101">
        <f>ShastaLake!F$18</f>
        <v>46465.60148531141</v>
      </c>
      <c r="G26" s="101">
        <f>ShastaLake!G$18</f>
        <v>43854.429405405404</v>
      </c>
      <c r="H26" s="101">
        <f>ShastaLake!H$18</f>
        <v>40394.738096526584</v>
      </c>
      <c r="I26" s="101">
        <f>ShastaLake!I$18</f>
        <v>37325.388725789067</v>
      </c>
      <c r="J26" s="101">
        <f>ShastaLake!J$18</f>
        <v>34333.022233673073</v>
      </c>
      <c r="K26" s="101">
        <f>ShastaLake!K$18</f>
        <v>31359.794424382093</v>
      </c>
    </row>
    <row r="27" spans="1:11" ht="13.9" x14ac:dyDescent="0.25">
      <c r="A27" s="100" t="s">
        <v>51</v>
      </c>
      <c r="B27" s="101">
        <v>27026.019445268277</v>
      </c>
      <c r="C27" s="101">
        <v>25096.967173519977</v>
      </c>
      <c r="D27" s="101">
        <v>23571.476735271397</v>
      </c>
      <c r="E27" s="101">
        <v>21632.165130368976</v>
      </c>
      <c r="F27" s="101">
        <v>19904.255358847473</v>
      </c>
      <c r="G27" s="101">
        <v>18497.416980335609</v>
      </c>
      <c r="H27" s="101">
        <v>16918.611402753442</v>
      </c>
      <c r="I27" s="101">
        <v>15382.052159412513</v>
      </c>
      <c r="J27" s="101">
        <v>13910.878584397473</v>
      </c>
      <c r="K27" s="101">
        <v>12481.555920083179</v>
      </c>
    </row>
    <row r="28" spans="1:11" ht="13.9" x14ac:dyDescent="0.25">
      <c r="A28" s="100" t="s">
        <v>26</v>
      </c>
      <c r="B28" s="101">
        <f>Vernon!B$18</f>
        <v>292101.43602427479</v>
      </c>
      <c r="C28" s="101">
        <f>Vernon!C$18</f>
        <v>273194.49173621694</v>
      </c>
      <c r="D28" s="101">
        <f>Vernon!D$18</f>
        <v>257996.42545038275</v>
      </c>
      <c r="E28" s="101">
        <f>Vernon!E$18</f>
        <v>238722.73566692296</v>
      </c>
      <c r="F28" s="101">
        <f>Vernon!F$18</f>
        <v>220330.63730046566</v>
      </c>
      <c r="G28" s="101">
        <f>Vernon!G$18</f>
        <v>205775.62436752676</v>
      </c>
      <c r="H28" s="101">
        <f>Vernon!H$18</f>
        <v>188783.19127099132</v>
      </c>
      <c r="I28" s="101">
        <f>Vernon!I$18</f>
        <v>172478.52420499787</v>
      </c>
      <c r="J28" s="101">
        <f>Vernon!J$18</f>
        <v>156807.4455052187</v>
      </c>
      <c r="K28" s="101">
        <f>Vernon!K$18</f>
        <v>141502.51800562677</v>
      </c>
    </row>
    <row r="29" spans="1:11" ht="13.9" x14ac:dyDescent="0.25">
      <c r="A29" s="100" t="s">
        <v>105</v>
      </c>
      <c r="B29" s="101">
        <f>Victorville!B$18</f>
        <v>22213.679574639624</v>
      </c>
      <c r="C29" s="101">
        <f>Victorville!C$18</f>
        <v>20784.389337386081</v>
      </c>
      <c r="D29" s="101">
        <f>Victorville!D$18</f>
        <v>19706.064713117539</v>
      </c>
      <c r="E29" s="101">
        <f>Victorville!E$18</f>
        <v>18208.906104066846</v>
      </c>
      <c r="F29" s="101">
        <f>Victorville!F$18</f>
        <v>16898.481214163297</v>
      </c>
      <c r="G29" s="101">
        <f>Victorville!G$18</f>
        <v>15901.059187843592</v>
      </c>
      <c r="H29" s="101">
        <f>Victorville!H$18</f>
        <v>14642.786853661772</v>
      </c>
      <c r="I29" s="101">
        <f>Victorville!I$18</f>
        <v>13405.6414170432</v>
      </c>
      <c r="J29" s="101">
        <f>Victorville!J$18</f>
        <v>12214.849389362984</v>
      </c>
      <c r="K29" s="101">
        <f>Victorville!K$18</f>
        <v>11049.443203477342</v>
      </c>
    </row>
    <row r="30" spans="1:11" ht="13.9" x14ac:dyDescent="0.25">
      <c r="A30" s="100" t="s">
        <v>16</v>
      </c>
      <c r="B30" s="101">
        <f>Eastside!B$18</f>
        <v>757.01343871456243</v>
      </c>
      <c r="C30" s="101">
        <f>Eastside!C$18</f>
        <v>561.64012758837782</v>
      </c>
      <c r="D30" s="101">
        <f>Eastside!D$18</f>
        <v>497.9796050664512</v>
      </c>
      <c r="E30" s="101">
        <f>Eastside!E$18</f>
        <v>477.32639570057904</v>
      </c>
      <c r="F30" s="101">
        <f>Eastside!F$18</f>
        <v>456.49517524939944</v>
      </c>
      <c r="G30" s="101">
        <f>Eastside!G$18</f>
        <v>435.48483003650318</v>
      </c>
      <c r="H30" s="101">
        <f>Eastside!H$18</f>
        <v>414.97008728861152</v>
      </c>
      <c r="I30" s="101">
        <f>Eastside!I$18</f>
        <v>393.6009021104021</v>
      </c>
      <c r="J30" s="101">
        <f>Eastside!J$18</f>
        <v>372.04922554258206</v>
      </c>
      <c r="K30" s="101">
        <f>Eastside!K$18</f>
        <v>349.62971231310553</v>
      </c>
    </row>
    <row r="31" spans="1:11" ht="26.45" x14ac:dyDescent="0.25">
      <c r="A31" s="100" t="s">
        <v>186</v>
      </c>
      <c r="B31" s="101">
        <f>GoldenState!B18</f>
        <v>40876.971292116803</v>
      </c>
      <c r="C31" s="101">
        <f>GoldenState!C18</f>
        <v>38396.772184223497</v>
      </c>
      <c r="D31" s="101">
        <f>GoldenState!D18</f>
        <v>36215.973443968513</v>
      </c>
      <c r="E31" s="101">
        <f>GoldenState!E18</f>
        <v>33842.282375573341</v>
      </c>
      <c r="F31" s="101">
        <f>GoldenState!F18</f>
        <v>31292.25873583262</v>
      </c>
      <c r="G31" s="101">
        <f>GoldenState!G18</f>
        <v>29283.05715249612</v>
      </c>
      <c r="H31" s="101">
        <f>GoldenState!H18</f>
        <v>27051.927380268811</v>
      </c>
      <c r="I31" s="101">
        <f>GoldenState!I18</f>
        <v>24851.057414548017</v>
      </c>
      <c r="J31" s="101">
        <f>GoldenState!J18</f>
        <v>22726.75448949189</v>
      </c>
      <c r="K31" s="101">
        <f>GoldenState!K18</f>
        <v>20639.684245473527</v>
      </c>
    </row>
    <row r="32" spans="1:11" ht="13.9" x14ac:dyDescent="0.25">
      <c r="A32" s="100" t="s">
        <v>17</v>
      </c>
      <c r="B32" s="101">
        <v>5683.0095643993591</v>
      </c>
      <c r="C32" s="101">
        <v>5192.4712239287401</v>
      </c>
      <c r="D32" s="101">
        <v>4856.6157346484752</v>
      </c>
      <c r="E32" s="101">
        <v>4405.6844929507506</v>
      </c>
      <c r="F32" s="101">
        <v>3977.107796502868</v>
      </c>
      <c r="G32" s="101">
        <v>3683.8737148759869</v>
      </c>
      <c r="H32" s="101">
        <v>3287.2976469551504</v>
      </c>
      <c r="I32" s="101">
        <v>2924.6366566550705</v>
      </c>
      <c r="J32" s="101">
        <v>2581.6647475446252</v>
      </c>
      <c r="K32" s="101">
        <v>2254.2397503287502</v>
      </c>
    </row>
    <row r="33" spans="1:11" ht="13.9" x14ac:dyDescent="0.25">
      <c r="A33" s="100" t="s">
        <v>6</v>
      </c>
      <c r="B33" s="101">
        <f>ImperialID!B$18</f>
        <v>1091517.0094330604</v>
      </c>
      <c r="C33" s="101">
        <f>ImperialID!C$18</f>
        <v>1037934.4802911967</v>
      </c>
      <c r="D33" s="101">
        <f>ImperialID!D$18</f>
        <v>999536.0309753262</v>
      </c>
      <c r="E33" s="101">
        <f>ImperialID!E$18</f>
        <v>941854.85948266252</v>
      </c>
      <c r="F33" s="101">
        <f>ImperialID!F$18</f>
        <v>885884.45155789948</v>
      </c>
      <c r="G33" s="101">
        <f>ImperialID!G$18</f>
        <v>841745.64073106635</v>
      </c>
      <c r="H33" s="101">
        <f>ImperialID!H$18</f>
        <v>772936.50714073586</v>
      </c>
      <c r="I33" s="101">
        <f>ImperialID!I$18</f>
        <v>717367.17292514804</v>
      </c>
      <c r="J33" s="101">
        <f>ImperialID!J$18</f>
        <v>662820.00526042923</v>
      </c>
      <c r="K33" s="101">
        <f>ImperialID!K$18</f>
        <v>608183.47474082524</v>
      </c>
    </row>
    <row r="34" spans="1:11" ht="13.9" x14ac:dyDescent="0.25">
      <c r="A34" s="100" t="s">
        <v>106</v>
      </c>
      <c r="B34" s="101">
        <f>Kirkwood!B$18</f>
        <v>2020.1806443239727</v>
      </c>
      <c r="C34" s="101">
        <f>Kirkwood!C$18</f>
        <v>1917.3826196715959</v>
      </c>
      <c r="D34" s="101">
        <f>Kirkwood!D$18</f>
        <v>1843.4978999192881</v>
      </c>
      <c r="E34" s="101">
        <f>Kirkwood!E$18</f>
        <v>1743.6017052409163</v>
      </c>
      <c r="F34" s="101">
        <f>Kirkwood!F$18</f>
        <v>1645.6784294192194</v>
      </c>
      <c r="G34" s="101">
        <f>Kirkwood!G$18</f>
        <v>1572.8406854594577</v>
      </c>
      <c r="H34" s="101">
        <f>Kirkwood!H$18</f>
        <v>1467.36760220151</v>
      </c>
      <c r="I34" s="101">
        <f>Kirkwood!I$18</f>
        <v>1361.4076128297588</v>
      </c>
      <c r="J34" s="101">
        <f>Kirkwood!J$18</f>
        <v>1257.5246089073721</v>
      </c>
      <c r="K34" s="101">
        <f>Kirkwood!K$18</f>
        <v>1153.5979243156858</v>
      </c>
    </row>
    <row r="35" spans="1:11" ht="13.9" x14ac:dyDescent="0.25">
      <c r="A35" s="100" t="s">
        <v>18</v>
      </c>
      <c r="B35" s="101">
        <f>Lassen!B$18</f>
        <v>30202.279138252143</v>
      </c>
      <c r="C35" s="101">
        <f>Lassen!C$18</f>
        <v>27974.949140728884</v>
      </c>
      <c r="D35" s="101">
        <f>Lassen!D$18</f>
        <v>26342.627104544703</v>
      </c>
      <c r="E35" s="101">
        <f>Lassen!E$18</f>
        <v>24379.751643932432</v>
      </c>
      <c r="F35" s="101">
        <f>Lassen!F$18</f>
        <v>22347.944407750201</v>
      </c>
      <c r="G35" s="101">
        <f>Lassen!G$18</f>
        <v>20990.099278372341</v>
      </c>
      <c r="H35" s="101">
        <f>Lassen!H$18</f>
        <v>19220.987772434644</v>
      </c>
      <c r="I35" s="101">
        <f>Lassen!I$18</f>
        <v>17448.674074172017</v>
      </c>
      <c r="J35" s="101">
        <f>Lassen!J$18</f>
        <v>15753.131022949794</v>
      </c>
      <c r="K35" s="101">
        <f>Lassen!K$18</f>
        <v>14107.87554657814</v>
      </c>
    </row>
    <row r="36" spans="1:11" ht="13.9" x14ac:dyDescent="0.25">
      <c r="A36" s="100" t="s">
        <v>29</v>
      </c>
      <c r="B36" s="101">
        <f>Liberty!B$18</f>
        <v>172420.90898404157</v>
      </c>
      <c r="C36" s="101">
        <f>Liberty!C$18</f>
        <v>162183.38101694404</v>
      </c>
      <c r="D36" s="101">
        <f>Liberty!D$18</f>
        <v>154323.28982467181</v>
      </c>
      <c r="E36" s="101">
        <f>Liberty!E$18</f>
        <v>144143.05456262716</v>
      </c>
      <c r="F36" s="101">
        <f>Liberty!F$18</f>
        <v>133977.22629119444</v>
      </c>
      <c r="G36" s="101">
        <f>Liberty!G$18</f>
        <v>126025.60152296477</v>
      </c>
      <c r="H36" s="101">
        <f>Liberty!H$18</f>
        <v>116180.53068052852</v>
      </c>
      <c r="I36" s="101">
        <f>Liberty!I$18</f>
        <v>107058.48387079537</v>
      </c>
      <c r="J36" s="101">
        <f>Liberty!J$18</f>
        <v>98209.773510344065</v>
      </c>
      <c r="K36" s="101">
        <f>Liberty!K$18</f>
        <v>89466.698457369508</v>
      </c>
    </row>
    <row r="37" spans="1:11" ht="13.9" x14ac:dyDescent="0.25">
      <c r="A37" s="100" t="s">
        <v>187</v>
      </c>
      <c r="B37" s="101">
        <f>LADWP!B$18</f>
        <v>9663126.6761267725</v>
      </c>
      <c r="C37" s="101">
        <f>LADWP!C$18</f>
        <v>9014071.0957564395</v>
      </c>
      <c r="D37" s="101">
        <f>LADWP!D$18</f>
        <v>8393559.5941711906</v>
      </c>
      <c r="E37" s="101">
        <f>LADWP!E$18</f>
        <v>7712958.2646539612</v>
      </c>
      <c r="F37" s="101">
        <f>LADWP!F$18</f>
        <v>7410393.877573641</v>
      </c>
      <c r="G37" s="101">
        <f>LADWP!G$18</f>
        <v>7013287.071991344</v>
      </c>
      <c r="H37" s="101">
        <f>LADWP!H$18</f>
        <v>5226149.5547528509</v>
      </c>
      <c r="I37" s="101">
        <f>LADWP!I$18</f>
        <v>3631572.7941958313</v>
      </c>
      <c r="J37" s="101">
        <f>LADWP!J$18</f>
        <v>3304625.4524846124</v>
      </c>
      <c r="K37" s="101">
        <f>LADWP!K$18</f>
        <v>2984857.1169292624</v>
      </c>
    </row>
    <row r="38" spans="1:11" ht="13.9" x14ac:dyDescent="0.25">
      <c r="A38" s="100" t="s">
        <v>86</v>
      </c>
      <c r="B38" s="101">
        <v>125651</v>
      </c>
      <c r="C38" s="101">
        <v>118661</v>
      </c>
      <c r="D38" s="101">
        <v>113662</v>
      </c>
      <c r="E38" s="101">
        <v>106642</v>
      </c>
      <c r="F38" s="101">
        <v>99509</v>
      </c>
      <c r="G38" s="101">
        <v>94211</v>
      </c>
      <c r="H38" s="101">
        <v>86683</v>
      </c>
      <c r="I38" s="101">
        <v>80230</v>
      </c>
      <c r="J38" s="101">
        <v>73916</v>
      </c>
      <c r="K38" s="101">
        <v>67617</v>
      </c>
    </row>
    <row r="39" spans="1:11" ht="13.9" x14ac:dyDescent="0.25">
      <c r="A39" s="100" t="s">
        <v>0</v>
      </c>
      <c r="B39" s="101">
        <v>660490</v>
      </c>
      <c r="C39" s="101">
        <v>620969</v>
      </c>
      <c r="D39" s="101">
        <v>591492</v>
      </c>
      <c r="E39" s="101">
        <v>551585</v>
      </c>
      <c r="F39" s="101">
        <v>514058</v>
      </c>
      <c r="G39" s="101">
        <v>485272</v>
      </c>
      <c r="H39" s="101">
        <v>443947</v>
      </c>
      <c r="I39" s="101">
        <v>408645</v>
      </c>
      <c r="J39" s="101">
        <v>374312</v>
      </c>
      <c r="K39" s="101">
        <v>340329</v>
      </c>
    </row>
    <row r="40" spans="1:11" ht="13.9" x14ac:dyDescent="0.25">
      <c r="A40" s="100" t="s">
        <v>188</v>
      </c>
      <c r="B40" s="101">
        <f>PGE!B$18</f>
        <v>15560105.175288413</v>
      </c>
      <c r="C40" s="101">
        <f>PGE!C$18</f>
        <v>14430172.790157914</v>
      </c>
      <c r="D40" s="101">
        <f>PGE!D$18</f>
        <v>13643885.031290602</v>
      </c>
      <c r="E40" s="101">
        <f>PGE!E$18</f>
        <v>12880004.197126603</v>
      </c>
      <c r="F40" s="101">
        <f>PGE!F$18</f>
        <v>11505101.721434489</v>
      </c>
      <c r="G40" s="101">
        <f>PGE!G$18</f>
        <v>16430497.675361933</v>
      </c>
      <c r="H40" s="101">
        <f>PGE!H$18</f>
        <v>15040144.909944179</v>
      </c>
      <c r="I40" s="101">
        <f>PGE!I$18</f>
        <v>13749246.707874915</v>
      </c>
      <c r="J40" s="101">
        <f>PGE!J$18</f>
        <v>12508749.18558388</v>
      </c>
      <c r="K40" s="101">
        <f>PGE!K$18</f>
        <v>11297144.987415511</v>
      </c>
    </row>
    <row r="41" spans="1:11" ht="13.9" x14ac:dyDescent="0.25">
      <c r="A41" s="100" t="s">
        <v>12</v>
      </c>
      <c r="B41" s="101">
        <f>PacifiCorp!B$10</f>
        <v>506834.18512958888</v>
      </c>
      <c r="C41" s="101">
        <f>PacifiCorp!C$10</f>
        <v>478348.59562773211</v>
      </c>
      <c r="D41" s="101">
        <f>PacifiCorp!D$10</f>
        <v>455885.53553351352</v>
      </c>
      <c r="E41" s="101">
        <f>PacifiCorp!E$10</f>
        <v>412790.65018730907</v>
      </c>
      <c r="F41" s="101">
        <f>PacifiCorp!F$10</f>
        <v>388913.43081504118</v>
      </c>
      <c r="G41" s="101">
        <f>PacifiCorp!G$10</f>
        <v>362381.60894190409</v>
      </c>
      <c r="H41" s="101">
        <f>PacifiCorp!H$10</f>
        <v>334264.40501717135</v>
      </c>
      <c r="I41" s="101">
        <f>PacifiCorp!I$10</f>
        <v>314432.93738551176</v>
      </c>
      <c r="J41" s="101">
        <f>PacifiCorp!J$10</f>
        <v>292868.25232698425</v>
      </c>
      <c r="K41" s="101">
        <f>PacifiCorp!K$10</f>
        <v>255382.68900629925</v>
      </c>
    </row>
    <row r="42" spans="1:11" ht="13.9" x14ac:dyDescent="0.25">
      <c r="A42" s="100" t="s">
        <v>34</v>
      </c>
      <c r="B42" s="101">
        <f>Pasadena!B$18</f>
        <v>615677.70980352536</v>
      </c>
      <c r="C42" s="101">
        <f>Pasadena!C$18</f>
        <v>571389.03435511154</v>
      </c>
      <c r="D42" s="101">
        <f>Pasadena!D$18</f>
        <v>540888.23097250296</v>
      </c>
      <c r="E42" s="101">
        <f>Pasadena!E$18</f>
        <v>499246.05400470033</v>
      </c>
      <c r="F42" s="101">
        <f>Pasadena!F$18</f>
        <v>459562.58458519395</v>
      </c>
      <c r="G42" s="101">
        <f>Pasadena!G$18</f>
        <v>428563.059266745</v>
      </c>
      <c r="H42" s="101">
        <f>Pasadena!H$18</f>
        <v>298093.721037568</v>
      </c>
      <c r="I42" s="101">
        <f>Pasadena!I$18</f>
        <v>179280.32004559375</v>
      </c>
      <c r="J42" s="101">
        <f>Pasadena!J$18</f>
        <v>162773.6140800906</v>
      </c>
      <c r="K42" s="101">
        <f>Pasadena!K$18</f>
        <v>146678.10769102923</v>
      </c>
    </row>
    <row r="43" spans="1:11" ht="13.9" x14ac:dyDescent="0.25">
      <c r="A43" s="100" t="s">
        <v>28</v>
      </c>
      <c r="B43" s="101">
        <f>Pittsburg!B$18</f>
        <v>4655.40567712145</v>
      </c>
      <c r="C43" s="101">
        <f>Pittsburg!C$18</f>
        <v>4337.1040170301603</v>
      </c>
      <c r="D43" s="101">
        <f>Pittsburg!D$18</f>
        <v>4110.2889680000953</v>
      </c>
      <c r="E43" s="101">
        <f>Pittsburg!E$18</f>
        <v>3810.3322827776083</v>
      </c>
      <c r="F43" s="101">
        <f>Pittsburg!F$18</f>
        <v>3521.3361184557302</v>
      </c>
      <c r="G43" s="101">
        <f>Pittsburg!G$18</f>
        <v>3312.7902223813489</v>
      </c>
      <c r="H43" s="101">
        <f>Pittsburg!H$18</f>
        <v>3033.4737288908864</v>
      </c>
      <c r="I43" s="101">
        <f>Pittsburg!I$18</f>
        <v>2760.1930373293371</v>
      </c>
      <c r="J43" s="101">
        <f>Pittsburg!J$18</f>
        <v>2498.2484816108577</v>
      </c>
      <c r="K43" s="101">
        <f>Pittsburg!K$18</f>
        <v>2243.4316355893025</v>
      </c>
    </row>
    <row r="44" spans="1:11" ht="13.9" x14ac:dyDescent="0.25">
      <c r="A44" s="100" t="s">
        <v>189</v>
      </c>
      <c r="B44" s="101">
        <v>26670.024245089917</v>
      </c>
      <c r="C44" s="101">
        <v>24240.931031566844</v>
      </c>
      <c r="D44" s="101">
        <v>22469.523893724217</v>
      </c>
      <c r="E44" s="101">
        <v>20198.223497861341</v>
      </c>
      <c r="F44" s="101">
        <v>18144.747695548776</v>
      </c>
      <c r="G44" s="101">
        <v>16554.157300523624</v>
      </c>
      <c r="H44" s="101">
        <v>14958.879405050964</v>
      </c>
      <c r="I44" s="101">
        <v>13311.826482580213</v>
      </c>
      <c r="J44" s="101">
        <v>11754.032818198979</v>
      </c>
      <c r="K44" s="101">
        <v>10266.62455828483</v>
      </c>
    </row>
    <row r="45" spans="1:11" ht="13.9" x14ac:dyDescent="0.25">
      <c r="A45" s="100" t="s">
        <v>190</v>
      </c>
      <c r="B45" s="101">
        <f>PWRPA!B$18</f>
        <v>88414.679863616126</v>
      </c>
      <c r="C45" s="101">
        <f>PWRPA!C$18</f>
        <v>80601.496633353687</v>
      </c>
      <c r="D45" s="101">
        <f>PWRPA!D$18</f>
        <v>75124.434988954948</v>
      </c>
      <c r="E45" s="101">
        <f>PWRPA!E$18</f>
        <v>67939.496885738321</v>
      </c>
      <c r="F45" s="101">
        <f>PWRPA!F$18</f>
        <v>61113.555997976509</v>
      </c>
      <c r="G45" s="101">
        <f>PWRPA!G$18</f>
        <v>56354.488784487265</v>
      </c>
      <c r="H45" s="101">
        <f>PWRPA!H$18</f>
        <v>50238.614872097125</v>
      </c>
      <c r="I45" s="101">
        <f>PWRPA!I$18</f>
        <v>44394.63695602036</v>
      </c>
      <c r="J45" s="101">
        <f>PWRPA!J$18</f>
        <v>38909.656255398353</v>
      </c>
      <c r="K45" s="101">
        <f>PWRPA!K$18</f>
        <v>33717.689034351737</v>
      </c>
    </row>
    <row r="46" spans="1:11" ht="13.9" x14ac:dyDescent="0.25">
      <c r="A46" s="100" t="s">
        <v>22</v>
      </c>
      <c r="B46" s="101">
        <f>Redding!B$18</f>
        <v>135822.1909212691</v>
      </c>
      <c r="C46" s="101">
        <f>Redding!C$18</f>
        <v>126107.68528554641</v>
      </c>
      <c r="D46" s="101">
        <f>Redding!D$18</f>
        <v>119980.28215511164</v>
      </c>
      <c r="E46" s="101">
        <f>Redding!E$18</f>
        <v>110352.61605170388</v>
      </c>
      <c r="F46" s="101">
        <f>Redding!F$18</f>
        <v>100997.1798331375</v>
      </c>
      <c r="G46" s="101">
        <f>Redding!G$18</f>
        <v>94961.655823736786</v>
      </c>
      <c r="H46" s="101">
        <f>Redding!H$18</f>
        <v>84752.464307342656</v>
      </c>
      <c r="I46" s="101">
        <f>Redding!I$18</f>
        <v>76531.680241097158</v>
      </c>
      <c r="J46" s="101">
        <f>Redding!J$18</f>
        <v>68637.195067449284</v>
      </c>
      <c r="K46" s="101">
        <f>Redding!K$18</f>
        <v>60964.627144149854</v>
      </c>
    </row>
    <row r="47" spans="1:11" x14ac:dyDescent="0.2">
      <c r="A47" s="100" t="s">
        <v>3</v>
      </c>
      <c r="B47" s="101">
        <f>SMUD!B$18</f>
        <v>2505624.9848033087</v>
      </c>
      <c r="C47" s="101">
        <f>SMUD!C$18</f>
        <v>2337324.1096548829</v>
      </c>
      <c r="D47" s="101">
        <f>SMUD!D$18</f>
        <v>2216613.7114612432</v>
      </c>
      <c r="E47" s="101">
        <f>SMUD!E$18</f>
        <v>2054523.2500465605</v>
      </c>
      <c r="F47" s="101">
        <f>SMUD!F$18</f>
        <v>1894701.9795813784</v>
      </c>
      <c r="G47" s="101">
        <f>SMUD!G$18</f>
        <v>1778704.2305024094</v>
      </c>
      <c r="H47" s="101">
        <f>SMUD!H$18</f>
        <v>1620658.9230990321</v>
      </c>
      <c r="I47" s="101">
        <f>SMUD!I$18</f>
        <v>1482477.6864225203</v>
      </c>
      <c r="J47" s="101">
        <f>SMUD!J$18</f>
        <v>1348763.0048174809</v>
      </c>
      <c r="K47" s="101">
        <f>SMUD!K$18</f>
        <v>1217339.7275296873</v>
      </c>
    </row>
    <row r="48" spans="1:11" x14ac:dyDescent="0.2">
      <c r="A48" s="100" t="s">
        <v>191</v>
      </c>
      <c r="B48" s="101">
        <f>SDGE!B$18</f>
        <v>6158322.3447583076</v>
      </c>
      <c r="C48" s="101">
        <f>SDGE!C$18</f>
        <v>5790775.9126824643</v>
      </c>
      <c r="D48" s="101">
        <f>SDGE!D$18</f>
        <v>5483705.5520519288</v>
      </c>
      <c r="E48" s="101">
        <f>SDGE!E$18</f>
        <v>5106568.2118065152</v>
      </c>
      <c r="F48" s="101">
        <f>SDGE!F$18</f>
        <v>4737642.431402701</v>
      </c>
      <c r="G48" s="101">
        <f>SDGE!G$18</f>
        <v>4446420.059897841</v>
      </c>
      <c r="H48" s="101">
        <f>SDGE!H$18</f>
        <v>4086230.8924094918</v>
      </c>
      <c r="I48" s="101">
        <f>SDGE!I$18</f>
        <v>3746475.4200665494</v>
      </c>
      <c r="J48" s="101">
        <f>SDGE!J$18</f>
        <v>3419463.1090502189</v>
      </c>
      <c r="K48" s="101">
        <f>SDGE!K$18</f>
        <v>3099231.8310492965</v>
      </c>
    </row>
    <row r="49" spans="1:11" ht="25.5" x14ac:dyDescent="0.2">
      <c r="A49" s="100" t="s">
        <v>24</v>
      </c>
      <c r="B49" s="101">
        <f>SiliconValley!B$18</f>
        <v>660891.50160348683</v>
      </c>
      <c r="C49" s="101">
        <f>SiliconValley!C$18</f>
        <v>615291.90219226072</v>
      </c>
      <c r="D49" s="101">
        <f>SiliconValley!D$18</f>
        <v>582321.17816070712</v>
      </c>
      <c r="E49" s="101">
        <f>SiliconValley!E$18</f>
        <v>536773.35852761671</v>
      </c>
      <c r="F49" s="101">
        <f>SiliconValley!F$18</f>
        <v>491946.24639915902</v>
      </c>
      <c r="G49" s="101">
        <f>SiliconValley!G$18</f>
        <v>459537.80515696097</v>
      </c>
      <c r="H49" s="101">
        <f>SiliconValley!H$18</f>
        <v>416424.93032345455</v>
      </c>
      <c r="I49" s="101">
        <f>SiliconValley!I$18</f>
        <v>376956.2243811934</v>
      </c>
      <c r="J49" s="101">
        <f>SiliconValley!J$18</f>
        <v>339274.58231129998</v>
      </c>
      <c r="K49" s="101">
        <f>SiliconValley!K$18</f>
        <v>302812.16190740146</v>
      </c>
    </row>
    <row r="50" spans="1:11" x14ac:dyDescent="0.2">
      <c r="A50" s="100" t="s">
        <v>192</v>
      </c>
      <c r="B50" s="102">
        <f>SCE!B18</f>
        <v>22855753.795582283</v>
      </c>
      <c r="C50" s="102">
        <f>SCE!C18</f>
        <v>21386325.396498125</v>
      </c>
      <c r="D50" s="102">
        <f>SCE!D18</f>
        <v>20210281.843245938</v>
      </c>
      <c r="E50" s="102">
        <f>SCE!E18</f>
        <v>18719788.724823169</v>
      </c>
      <c r="F50" s="102">
        <f>SCE!F18</f>
        <v>17306089.808326419</v>
      </c>
      <c r="G50" s="102">
        <f>SCE!G18</f>
        <v>16175821.851708867</v>
      </c>
      <c r="H50" s="102">
        <f>SCE!H18</f>
        <v>14811555.117112229</v>
      </c>
      <c r="I50" s="102">
        <f>SCE!I18</f>
        <v>13509477.309298793</v>
      </c>
      <c r="J50" s="102">
        <f>SCE!J18</f>
        <v>12262369.851210313</v>
      </c>
      <c r="K50" s="102">
        <f>SCE!K18</f>
        <v>11048892.600201009</v>
      </c>
    </row>
    <row r="51" spans="1:11" x14ac:dyDescent="0.2">
      <c r="A51" s="100" t="s">
        <v>193</v>
      </c>
      <c r="B51" s="101">
        <f>Stockton!B$18</f>
        <v>6333.520776457166</v>
      </c>
      <c r="C51" s="101">
        <f>Stockton!C$18</f>
        <v>5948.0091913293909</v>
      </c>
      <c r="D51" s="101">
        <f>Stockton!D$18</f>
        <v>5649.8883559574797</v>
      </c>
      <c r="E51" s="101">
        <f>Stockton!E$18</f>
        <v>5282.3728980727428</v>
      </c>
      <c r="F51" s="101">
        <f>Stockton!F$18</f>
        <v>4925.5635753597444</v>
      </c>
      <c r="G51" s="101">
        <f>Stockton!G$18</f>
        <v>4506.6133429516412</v>
      </c>
      <c r="H51" s="101">
        <f>Stockton!H$18</f>
        <v>4255.5129699879026</v>
      </c>
      <c r="I51" s="101">
        <f>Stockton!I$18</f>
        <v>3915.7411478191598</v>
      </c>
      <c r="J51" s="101">
        <f>Stockton!J$18</f>
        <v>3587.2584335393335</v>
      </c>
      <c r="K51" s="101">
        <f>Stockton!K$18</f>
        <v>3263.8435358341007</v>
      </c>
    </row>
    <row r="52" spans="1:11" x14ac:dyDescent="0.2">
      <c r="A52" s="100" t="s">
        <v>32</v>
      </c>
      <c r="B52" s="101">
        <f>SurpriseValley!B$18</f>
        <v>2659.1300305776763</v>
      </c>
      <c r="C52" s="101">
        <f>SurpriseValley!C$18</f>
        <v>2567.1780189132764</v>
      </c>
      <c r="D52" s="101">
        <f>SurpriseValley!D$18</f>
        <v>2473.7325658834257</v>
      </c>
      <c r="E52" s="101">
        <f>SurpriseValley!E$18</f>
        <v>2378.7766993626901</v>
      </c>
      <c r="F52" s="101">
        <f>SurpriseValley!F$18</f>
        <v>2282.293278517438</v>
      </c>
      <c r="G52" s="101">
        <f>SurpriseValley!G$18</f>
        <v>2184.2649922434584</v>
      </c>
      <c r="H52" s="101">
        <f>SurpriseValley!H$18</f>
        <v>2088.0751314194104</v>
      </c>
      <c r="I52" s="101">
        <f>SurpriseValley!I$18</f>
        <v>1986.9294586141446</v>
      </c>
      <c r="J52" s="101">
        <f>SurpriseValley!J$18</f>
        <v>1884.1861329030244</v>
      </c>
      <c r="K52" s="101">
        <f>SurpriseValley!K$18</f>
        <v>1776.3509226450567</v>
      </c>
    </row>
    <row r="53" spans="1:11" x14ac:dyDescent="0.2">
      <c r="A53" s="100" t="s">
        <v>25</v>
      </c>
      <c r="B53" s="101">
        <f>TruckeeDonner!B$18</f>
        <v>48702.467687261378</v>
      </c>
      <c r="C53" s="101">
        <f>TruckeeDonner!C$18</f>
        <v>45821.296668422488</v>
      </c>
      <c r="D53" s="101">
        <f>TruckeeDonner!D$18</f>
        <v>43584.926727352082</v>
      </c>
      <c r="E53" s="101">
        <f>TruckeeDonner!E$18</f>
        <v>40807.248420946686</v>
      </c>
      <c r="F53" s="101">
        <f>TruckeeDonner!F$18</f>
        <v>38094.819133551187</v>
      </c>
      <c r="G53" s="101">
        <f>TruckeeDonner!G$18</f>
        <v>35962.363835208416</v>
      </c>
      <c r="H53" s="101">
        <f>TruckeeDonner!H$18</f>
        <v>33536.415482010751</v>
      </c>
      <c r="I53" s="101">
        <f>TruckeeDonner!I$18</f>
        <v>30984.02679893847</v>
      </c>
      <c r="J53" s="101">
        <f>TruckeeDonner!J$18</f>
        <v>28501.966599727519</v>
      </c>
      <c r="K53" s="101">
        <f>TruckeeDonner!K$18</f>
        <v>26041.243554212761</v>
      </c>
    </row>
    <row r="54" spans="1:11" x14ac:dyDescent="0.2">
      <c r="A54" s="100" t="s">
        <v>33</v>
      </c>
      <c r="B54" s="101">
        <f>TurlockID!B$18</f>
        <v>401027.11237721913</v>
      </c>
      <c r="C54" s="101">
        <f>TurlockID!C$18</f>
        <v>375300.94091712619</v>
      </c>
      <c r="D54" s="101">
        <f>TurlockID!D$18</f>
        <v>358324.02179487085</v>
      </c>
      <c r="E54" s="101">
        <f>TurlockID!E$18</f>
        <v>333178.1100745094</v>
      </c>
      <c r="F54" s="101">
        <f>TurlockID!F$18</f>
        <v>307216.03744369152</v>
      </c>
      <c r="G54" s="101">
        <f>TurlockID!G$18</f>
        <v>289698.73199078918</v>
      </c>
      <c r="H54" s="101">
        <f>TurlockID!H$18</f>
        <v>262195.33604165807</v>
      </c>
      <c r="I54" s="101">
        <f>TurlockID!I$18</f>
        <v>239462.49954951071</v>
      </c>
      <c r="J54" s="101">
        <f>TurlockID!J$18</f>
        <v>217469.35266743315</v>
      </c>
      <c r="K54" s="101">
        <f>TurlockID!K$18</f>
        <v>195870.72597231617</v>
      </c>
    </row>
    <row r="55" spans="1:11" x14ac:dyDescent="0.2">
      <c r="A55" s="100" t="s">
        <v>30</v>
      </c>
      <c r="B55" s="101">
        <f>ValleyElectric!B$18</f>
        <v>2851.9051321582451</v>
      </c>
      <c r="C55" s="101">
        <f>ValleyElectric!C$18</f>
        <v>2645.0872329024678</v>
      </c>
      <c r="D55" s="101">
        <f>ValleyElectric!D$18</f>
        <v>2346.2878859381121</v>
      </c>
      <c r="E55" s="101">
        <f>ValleyElectric!E$18</f>
        <v>2151.9845389737566</v>
      </c>
      <c r="F55" s="101">
        <f>ValleyElectric!F$18</f>
        <v>2314.4533753231499</v>
      </c>
      <c r="G55" s="101">
        <f>ValleyElectric!G$18</f>
        <v>2159.1774220133179</v>
      </c>
      <c r="H55" s="101">
        <f>ValleyElectric!H$18</f>
        <v>1901.4703201257805</v>
      </c>
      <c r="I55" s="101">
        <f>ValleyElectric!I$18</f>
        <v>1754.1060361026698</v>
      </c>
      <c r="J55" s="101">
        <f>ValleyElectric!J$18</f>
        <v>1610.1526284146637</v>
      </c>
      <c r="K55" s="101">
        <f>ValleyElectric!K$18</f>
        <v>1466.990822646419</v>
      </c>
    </row>
    <row r="56" spans="1:11" x14ac:dyDescent="0.2">
      <c r="A56" s="100" t="s">
        <v>27</v>
      </c>
      <c r="B56" s="101">
        <f>WAPA!B$18</f>
        <v>182222.26228683762</v>
      </c>
      <c r="C56" s="101">
        <f>WAPA!C$18</f>
        <v>162901.11961729144</v>
      </c>
      <c r="D56" s="101">
        <f>WAPA!D$18</f>
        <v>152757.9684800602</v>
      </c>
      <c r="E56" s="101">
        <f>WAPA!E$18</f>
        <v>133685.85823824609</v>
      </c>
      <c r="F56" s="101">
        <f>WAPA!F$18</f>
        <v>115743.72611394084</v>
      </c>
      <c r="G56" s="101">
        <f>WAPA!G$18</f>
        <v>105436.59136448865</v>
      </c>
      <c r="H56" s="101">
        <f>WAPA!H$18</f>
        <v>87297.211502860955</v>
      </c>
      <c r="I56" s="101">
        <f>WAPA!I$18</f>
        <v>72360.64709514234</v>
      </c>
      <c r="J56" s="101">
        <f>WAPA!J$18</f>
        <v>58491.908495578966</v>
      </c>
      <c r="K56" s="101">
        <f>WAPA!K$18</f>
        <v>45622.561608721531</v>
      </c>
    </row>
  </sheetData>
  <sortState ref="A5:N58">
    <sortCondition ref="A5:A58"/>
  </sortState>
  <mergeCells count="2">
    <mergeCell ref="B1:K1"/>
    <mergeCell ref="A1:A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defaultRowHeight="15" x14ac:dyDescent="0.25"/>
  <cols>
    <col min="1" max="1" width="37.7109375" customWidth="1"/>
    <col min="12" max="12" width="49.28515625" customWidth="1"/>
    <col min="15" max="15" width="39.85546875" customWidth="1"/>
  </cols>
  <sheetData>
    <row r="1" spans="1:15" s="60" customFormat="1" ht="14.45" x14ac:dyDescent="0.3">
      <c r="A1" s="103" t="s">
        <v>183</v>
      </c>
      <c r="B1" s="141" t="s">
        <v>176</v>
      </c>
      <c r="C1" s="142"/>
      <c r="D1" s="142"/>
      <c r="E1" s="142"/>
      <c r="F1" s="142"/>
      <c r="G1" s="142"/>
      <c r="H1" s="142"/>
      <c r="I1" s="142"/>
      <c r="J1" s="142"/>
      <c r="K1" s="142"/>
      <c r="L1" s="143"/>
      <c r="N1" s="144" t="s">
        <v>196</v>
      </c>
      <c r="O1" s="145"/>
    </row>
    <row r="2" spans="1:15" s="60" customFormat="1" ht="14.45" x14ac:dyDescent="0.3">
      <c r="A2" s="104" t="s">
        <v>152</v>
      </c>
      <c r="B2" s="125">
        <v>2021</v>
      </c>
      <c r="C2" s="125">
        <v>2022</v>
      </c>
      <c r="D2" s="125">
        <v>2023</v>
      </c>
      <c r="E2" s="125">
        <v>2024</v>
      </c>
      <c r="F2" s="125">
        <v>2025</v>
      </c>
      <c r="G2" s="125">
        <v>2026</v>
      </c>
      <c r="H2" s="125">
        <v>2027</v>
      </c>
      <c r="I2" s="125">
        <v>2028</v>
      </c>
      <c r="J2" s="125">
        <v>2029</v>
      </c>
      <c r="K2" s="124">
        <v>2030</v>
      </c>
      <c r="L2" s="92" t="s">
        <v>177</v>
      </c>
      <c r="N2" s="61">
        <v>0.43540000000000001</v>
      </c>
      <c r="O2" s="61" t="s">
        <v>273</v>
      </c>
    </row>
    <row r="3" spans="1:15" s="60" customFormat="1" ht="72.599999999999994" x14ac:dyDescent="0.35">
      <c r="A3" s="105" t="s">
        <v>169</v>
      </c>
      <c r="B3" s="63">
        <v>138970.86237059601</v>
      </c>
      <c r="C3" s="63">
        <v>139085.92314055419</v>
      </c>
      <c r="D3" s="63">
        <v>139330.82325310633</v>
      </c>
      <c r="E3" s="63">
        <v>139512.67200000002</v>
      </c>
      <c r="F3" s="63">
        <v>139810.77599999998</v>
      </c>
      <c r="G3" s="63">
        <v>140108.88</v>
      </c>
      <c r="H3" s="67">
        <f>AVERAGE(E3:G3)*(1+$N$9)</f>
        <v>140380.38240771191</v>
      </c>
      <c r="I3" s="67">
        <f t="shared" ref="I3:K4" si="0">H3*(1+$N$9)</f>
        <v>140952.30946243682</v>
      </c>
      <c r="J3" s="67">
        <f t="shared" si="0"/>
        <v>141526.5666187779</v>
      </c>
      <c r="K3" s="67">
        <f t="shared" si="0"/>
        <v>142103.16336985756</v>
      </c>
      <c r="L3" s="89" t="s">
        <v>272</v>
      </c>
      <c r="N3" s="64">
        <v>0.91839999999999999</v>
      </c>
      <c r="O3" s="9" t="s">
        <v>203</v>
      </c>
    </row>
    <row r="4" spans="1:15" s="60" customFormat="1" ht="57.6" x14ac:dyDescent="0.3">
      <c r="A4" s="105" t="s">
        <v>170</v>
      </c>
      <c r="B4" s="63">
        <f>SUMIFS('Form 1.1c'!J:J, 'Form 1.1c'!$B:$B, "City of Lompoc")*1000</f>
        <v>138000</v>
      </c>
      <c r="C4" s="63">
        <f>SUMIFS('Form 1.1c'!K:K, 'Form 1.1c'!$B:$B, "City of Lompoc")*1000</f>
        <v>139000</v>
      </c>
      <c r="D4" s="63">
        <f>SUMIFS('Form 1.1c'!L:L, 'Form 1.1c'!$B:$B, "City of Lompoc")*1000</f>
        <v>140000</v>
      </c>
      <c r="E4" s="63">
        <f>SUMIFS('Form 1.1c'!M:M, 'Form 1.1c'!$B:$B, "City of Lompoc")*1000</f>
        <v>140000</v>
      </c>
      <c r="F4" s="63">
        <f>SUMIFS('Form 1.1c'!N:N, 'Form 1.1c'!$B:$B, "City of Lompoc")*1000</f>
        <v>141000</v>
      </c>
      <c r="G4" s="63">
        <f>SUMIFS('Form 1.1c'!O:O, 'Form 1.1c'!$B:$B, "City of Lompoc")*1000</f>
        <v>141000</v>
      </c>
      <c r="H4" s="67">
        <f>AVERAGE(E4:G4)*(1+$N$9)</f>
        <v>141239.76007889985</v>
      </c>
      <c r="I4" s="63">
        <f t="shared" si="0"/>
        <v>141815.18834463408</v>
      </c>
      <c r="J4" s="63">
        <f t="shared" si="0"/>
        <v>142392.96097635152</v>
      </c>
      <c r="K4" s="63">
        <f t="shared" si="0"/>
        <v>142973.08752528939</v>
      </c>
      <c r="L4" s="89" t="s">
        <v>222</v>
      </c>
      <c r="N4" s="70">
        <f>0.15</f>
        <v>0.15</v>
      </c>
      <c r="O4" s="61" t="s">
        <v>166</v>
      </c>
    </row>
    <row r="5" spans="1:15" s="60" customFormat="1" ht="28.9" x14ac:dyDescent="0.3">
      <c r="A5" s="105" t="s">
        <v>194</v>
      </c>
      <c r="B5" s="63">
        <f t="shared" ref="B5:K5" si="1">IF(AND(0&lt;($F$3-$F$4)/$F$3,($F$3-$F$4)/$F$3&lt;$N$4),B4,B3*(1-$N$5))</f>
        <v>129242.90200465427</v>
      </c>
      <c r="C5" s="63">
        <f t="shared" si="1"/>
        <v>129349.9085207154</v>
      </c>
      <c r="D5" s="63">
        <f t="shared" si="1"/>
        <v>129577.66562538888</v>
      </c>
      <c r="E5" s="63">
        <f t="shared" si="1"/>
        <v>129746.78496</v>
      </c>
      <c r="F5" s="63">
        <f t="shared" si="1"/>
        <v>130024.02167999998</v>
      </c>
      <c r="G5" s="63">
        <f t="shared" si="1"/>
        <v>130301.25839999999</v>
      </c>
      <c r="H5" s="63">
        <f t="shared" si="1"/>
        <v>130553.75563917206</v>
      </c>
      <c r="I5" s="63">
        <f t="shared" si="1"/>
        <v>131085.64780006625</v>
      </c>
      <c r="J5" s="63">
        <f t="shared" si="1"/>
        <v>131619.70695546345</v>
      </c>
      <c r="K5" s="63">
        <f t="shared" si="1"/>
        <v>132155.94193396752</v>
      </c>
      <c r="L5" s="89" t="s">
        <v>271</v>
      </c>
      <c r="N5" s="70">
        <f>0.07</f>
        <v>7.0000000000000007E-2</v>
      </c>
      <c r="O5" s="61" t="s">
        <v>270</v>
      </c>
    </row>
    <row r="6" spans="1:15" s="60" customFormat="1" ht="14.45" x14ac:dyDescent="0.3">
      <c r="A6" s="105" t="s">
        <v>171</v>
      </c>
      <c r="B6" s="63">
        <v>0</v>
      </c>
      <c r="C6" s="63">
        <v>0</v>
      </c>
      <c r="D6" s="63">
        <v>0</v>
      </c>
      <c r="E6" s="63">
        <v>0</v>
      </c>
      <c r="F6" s="63">
        <v>0</v>
      </c>
      <c r="G6" s="63">
        <v>0</v>
      </c>
      <c r="H6" s="63">
        <v>0</v>
      </c>
      <c r="I6" s="63">
        <v>0</v>
      </c>
      <c r="J6" s="63">
        <v>0</v>
      </c>
      <c r="K6" s="63">
        <v>0</v>
      </c>
      <c r="L6" s="120" t="s">
        <v>269</v>
      </c>
      <c r="N6" s="65">
        <v>0.05</v>
      </c>
      <c r="O6" s="61" t="s">
        <v>268</v>
      </c>
    </row>
    <row r="7" spans="1:15" s="60" customFormat="1" ht="14.45" x14ac:dyDescent="0.3">
      <c r="A7" s="105" t="s">
        <v>172</v>
      </c>
      <c r="B7" s="63">
        <v>0</v>
      </c>
      <c r="C7" s="63">
        <v>0</v>
      </c>
      <c r="D7" s="63">
        <v>0</v>
      </c>
      <c r="E7" s="63">
        <v>0</v>
      </c>
      <c r="F7" s="63">
        <v>0</v>
      </c>
      <c r="G7" s="63">
        <v>0</v>
      </c>
      <c r="H7" s="63">
        <v>0</v>
      </c>
      <c r="I7" s="63">
        <v>0</v>
      </c>
      <c r="J7" s="63">
        <v>0</v>
      </c>
      <c r="K7" s="63">
        <v>0</v>
      </c>
      <c r="L7" s="120" t="s">
        <v>267</v>
      </c>
      <c r="N7" s="86">
        <v>0.85099999999999998</v>
      </c>
      <c r="O7" s="61" t="s">
        <v>168</v>
      </c>
    </row>
    <row r="8" spans="1:15" s="60" customFormat="1" ht="43.15" x14ac:dyDescent="0.3">
      <c r="A8" s="105" t="s">
        <v>173</v>
      </c>
      <c r="B8" s="63">
        <v>16677</v>
      </c>
      <c r="C8" s="63">
        <v>16783</v>
      </c>
      <c r="D8" s="63">
        <v>16782</v>
      </c>
      <c r="E8" s="63">
        <v>16793</v>
      </c>
      <c r="F8" s="63">
        <v>16820.999999999996</v>
      </c>
      <c r="G8" s="63">
        <v>16805</v>
      </c>
      <c r="H8" s="67">
        <f>AVERAGE(E8:G8)</f>
        <v>16806.333333333332</v>
      </c>
      <c r="I8" s="67">
        <f t="shared" ref="I8:K8" si="2">H8</f>
        <v>16806.333333333332</v>
      </c>
      <c r="J8" s="67">
        <f t="shared" si="2"/>
        <v>16806.333333333332</v>
      </c>
      <c r="K8" s="67">
        <f t="shared" si="2"/>
        <v>16806.333333333332</v>
      </c>
      <c r="L8" s="89" t="s">
        <v>266</v>
      </c>
    </row>
    <row r="9" spans="1:15" s="60" customFormat="1" ht="28.9" x14ac:dyDescent="0.3">
      <c r="A9" s="105" t="s">
        <v>153</v>
      </c>
      <c r="B9" s="73">
        <v>0.34</v>
      </c>
      <c r="C9" s="59">
        <v>0.36</v>
      </c>
      <c r="D9" s="59">
        <v>0.37</v>
      </c>
      <c r="E9" s="59">
        <v>0.39</v>
      </c>
      <c r="F9" s="59">
        <v>0.41</v>
      </c>
      <c r="G9" s="59">
        <v>0.42</v>
      </c>
      <c r="H9" s="59">
        <v>0.44</v>
      </c>
      <c r="I9" s="59">
        <v>0.46</v>
      </c>
      <c r="J9" s="59">
        <v>0.48</v>
      </c>
      <c r="K9" s="59">
        <v>0.5</v>
      </c>
      <c r="L9" s="89" t="s">
        <v>248</v>
      </c>
      <c r="N9" s="66">
        <v>4.0741237836483535E-3</v>
      </c>
      <c r="O9" s="89" t="s">
        <v>206</v>
      </c>
    </row>
    <row r="10" spans="1:15" s="60" customFormat="1" ht="15.6" x14ac:dyDescent="0.3">
      <c r="A10" s="105" t="s">
        <v>174</v>
      </c>
      <c r="B10" s="63">
        <f t="shared" ref="B10:K10" si="3">B5*B9</f>
        <v>43942.586681582456</v>
      </c>
      <c r="C10" s="63">
        <f t="shared" si="3"/>
        <v>46565.967067457539</v>
      </c>
      <c r="D10" s="63">
        <f t="shared" si="3"/>
        <v>47943.736281393882</v>
      </c>
      <c r="E10" s="63">
        <f t="shared" si="3"/>
        <v>50601.246134400004</v>
      </c>
      <c r="F10" s="63">
        <f t="shared" si="3"/>
        <v>53309.848888799985</v>
      </c>
      <c r="G10" s="63">
        <f t="shared" si="3"/>
        <v>54726.528527999995</v>
      </c>
      <c r="H10" s="63">
        <f t="shared" si="3"/>
        <v>57443.652481235702</v>
      </c>
      <c r="I10" s="63">
        <f t="shared" si="3"/>
        <v>60299.397988030476</v>
      </c>
      <c r="J10" s="63">
        <f t="shared" si="3"/>
        <v>63177.459338622451</v>
      </c>
      <c r="K10" s="63">
        <f t="shared" si="3"/>
        <v>66077.970966983761</v>
      </c>
      <c r="L10" s="89" t="s">
        <v>207</v>
      </c>
      <c r="N10" s="68"/>
      <c r="O10" s="62"/>
    </row>
    <row r="11" spans="1:15" s="60" customFormat="1" ht="28.9" x14ac:dyDescent="0.3">
      <c r="A11" s="105" t="s">
        <v>175</v>
      </c>
      <c r="B11" s="63">
        <f t="shared" ref="B11:K11" si="4">MAX(B3-SUM(B6:B8,B10), B3*$N$6)</f>
        <v>78351.27568901355</v>
      </c>
      <c r="C11" s="63">
        <f t="shared" si="4"/>
        <v>75736.956073096662</v>
      </c>
      <c r="D11" s="63">
        <f t="shared" si="4"/>
        <v>74605.086971712444</v>
      </c>
      <c r="E11" s="63">
        <f t="shared" si="4"/>
        <v>72118.425865600017</v>
      </c>
      <c r="F11" s="63">
        <f t="shared" si="4"/>
        <v>69679.927111199999</v>
      </c>
      <c r="G11" s="63">
        <f t="shared" si="4"/>
        <v>68577.351472000009</v>
      </c>
      <c r="H11" s="63">
        <f t="shared" si="4"/>
        <v>66130.396593142868</v>
      </c>
      <c r="I11" s="63">
        <f t="shared" si="4"/>
        <v>63846.578141073012</v>
      </c>
      <c r="J11" s="63">
        <f t="shared" si="4"/>
        <v>61542.773946822112</v>
      </c>
      <c r="K11" s="63">
        <f t="shared" si="4"/>
        <v>59218.859069540471</v>
      </c>
      <c r="L11" s="89" t="s">
        <v>208</v>
      </c>
      <c r="N11" s="68"/>
      <c r="O11" s="62"/>
    </row>
    <row r="12" spans="1:15" s="60" customFormat="1" ht="43.9" x14ac:dyDescent="0.35">
      <c r="A12" s="105" t="s">
        <v>197</v>
      </c>
      <c r="B12" s="63">
        <f t="shared" ref="B12:K12" si="5">B6*$N$3+B11*$N$2</f>
        <v>34114.145434996499</v>
      </c>
      <c r="C12" s="63">
        <f t="shared" si="5"/>
        <v>32975.870674226288</v>
      </c>
      <c r="D12" s="63">
        <f t="shared" si="5"/>
        <v>32483.054867483599</v>
      </c>
      <c r="E12" s="63">
        <f t="shared" si="5"/>
        <v>31400.362621882246</v>
      </c>
      <c r="F12" s="63">
        <f t="shared" si="5"/>
        <v>30338.640264216479</v>
      </c>
      <c r="G12" s="63">
        <f t="shared" si="5"/>
        <v>29858.578830908806</v>
      </c>
      <c r="H12" s="63">
        <f t="shared" si="5"/>
        <v>28793.174676654406</v>
      </c>
      <c r="I12" s="63">
        <f t="shared" si="5"/>
        <v>27798.80012262319</v>
      </c>
      <c r="J12" s="63">
        <f t="shared" si="5"/>
        <v>26795.723776446346</v>
      </c>
      <c r="K12" s="63">
        <f t="shared" si="5"/>
        <v>25783.891238877921</v>
      </c>
      <c r="L12" s="108" t="s">
        <v>209</v>
      </c>
    </row>
    <row r="13" spans="1:15" s="60" customFormat="1" ht="86.45" x14ac:dyDescent="0.3">
      <c r="A13" s="105"/>
      <c r="B13" s="146" t="s">
        <v>210</v>
      </c>
      <c r="C13" s="147"/>
      <c r="D13" s="147"/>
      <c r="E13" s="147"/>
      <c r="F13" s="147"/>
      <c r="G13" s="147"/>
      <c r="H13" s="147"/>
      <c r="I13" s="147"/>
      <c r="J13" s="148"/>
      <c r="K13" s="87">
        <v>0</v>
      </c>
      <c r="L13" s="108" t="s">
        <v>216</v>
      </c>
    </row>
    <row r="14" spans="1:15" s="60" customFormat="1"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row>
    <row r="15" spans="1:15"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5" s="60" customFormat="1" ht="30" x14ac:dyDescent="0.35">
      <c r="A16" s="105" t="s">
        <v>199</v>
      </c>
      <c r="B16" s="82">
        <f>B12/B3</f>
        <v>0.24547696440152841</v>
      </c>
      <c r="C16" s="82">
        <f t="shared" ref="C16:K16" si="7">C12/C3</f>
        <v>0.23708992203979051</v>
      </c>
      <c r="D16" s="82">
        <f t="shared" si="7"/>
        <v>0.233136172664934</v>
      </c>
      <c r="E16" s="82">
        <f t="shared" si="7"/>
        <v>0.22507175994652473</v>
      </c>
      <c r="F16" s="82">
        <f t="shared" si="7"/>
        <v>0.21699786763372578</v>
      </c>
      <c r="G16" s="82">
        <f t="shared" si="7"/>
        <v>0.21310982452296245</v>
      </c>
      <c r="H16" s="82">
        <f t="shared" si="7"/>
        <v>0.20510825075991979</v>
      </c>
      <c r="I16" s="82">
        <f t="shared" si="7"/>
        <v>0.19722131711528607</v>
      </c>
      <c r="J16" s="82">
        <f t="shared" si="7"/>
        <v>0.18933352526401964</v>
      </c>
      <c r="K16" s="82">
        <f t="shared" si="7"/>
        <v>0.18144487868837347</v>
      </c>
      <c r="L16" s="89" t="s">
        <v>212</v>
      </c>
    </row>
    <row r="17" spans="1:15"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5" ht="43.9" thickBot="1" x14ac:dyDescent="0.35">
      <c r="A18" s="128" t="s">
        <v>201</v>
      </c>
      <c r="B18" s="84">
        <f t="shared" ref="B18:K18" si="9">B12*(B14/$N$7)-B17</f>
        <v>32751.183102693467</v>
      </c>
      <c r="C18" s="84">
        <f t="shared" si="9"/>
        <v>30340.900984628886</v>
      </c>
      <c r="D18" s="84">
        <f t="shared" si="9"/>
        <v>28589.668737655953</v>
      </c>
      <c r="E18" s="84">
        <f t="shared" si="9"/>
        <v>26382.208313332321</v>
      </c>
      <c r="F18" s="84">
        <f t="shared" si="9"/>
        <v>24278.042326593921</v>
      </c>
      <c r="G18" s="84">
        <f t="shared" si="9"/>
        <v>22700.940662277317</v>
      </c>
      <c r="H18" s="84">
        <f t="shared" si="9"/>
        <v>20774.39395001857</v>
      </c>
      <c r="I18" s="84">
        <f t="shared" si="9"/>
        <v>18946.303256311927</v>
      </c>
      <c r="J18" s="84">
        <f t="shared" si="9"/>
        <v>17192.085995228797</v>
      </c>
      <c r="K18" s="84">
        <f t="shared" si="9"/>
        <v>15482.454081159363</v>
      </c>
      <c r="L18" s="93" t="s">
        <v>214</v>
      </c>
      <c r="M18" s="60"/>
      <c r="N18" s="60"/>
      <c r="O18" s="60"/>
    </row>
    <row r="19" spans="1:15" x14ac:dyDescent="0.25">
      <c r="A19" s="85"/>
      <c r="B19" s="85"/>
      <c r="C19" s="85"/>
      <c r="D19" s="85"/>
      <c r="E19" s="85"/>
      <c r="F19" s="85"/>
      <c r="G19" s="85"/>
      <c r="H19" s="85"/>
      <c r="I19" s="85"/>
      <c r="J19" s="85"/>
      <c r="K19" s="85"/>
      <c r="L19" s="60"/>
      <c r="M19" s="60"/>
      <c r="N19" s="60"/>
      <c r="O19" s="60"/>
    </row>
  </sheetData>
  <mergeCells count="3">
    <mergeCell ref="B1:L1"/>
    <mergeCell ref="N1:O1"/>
    <mergeCell ref="B13:J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34.42578125" customWidth="1"/>
    <col min="2" max="11" width="9" bestFit="1" customWidth="1"/>
    <col min="12" max="12" width="49.28515625" style="3" customWidth="1"/>
    <col min="14" max="14" width="8.7109375" customWidth="1"/>
    <col min="15" max="17" width="45.42578125" customWidth="1"/>
  </cols>
  <sheetData>
    <row r="1" spans="1:18" s="60" customFormat="1" ht="15.6" x14ac:dyDescent="0.3">
      <c r="A1" s="103" t="s">
        <v>184</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v>151151.33102599235</v>
      </c>
      <c r="C3" s="67">
        <f t="shared" ref="C3:G3" si="0">B3*(1+$N$9)</f>
        <v>151771.99626333045</v>
      </c>
      <c r="D3" s="67">
        <f t="shared" si="0"/>
        <v>152395.21010764557</v>
      </c>
      <c r="E3" s="67">
        <f t="shared" si="0"/>
        <v>153020.98302415654</v>
      </c>
      <c r="F3" s="67">
        <f t="shared" si="0"/>
        <v>153649.325521055</v>
      </c>
      <c r="G3" s="67">
        <f t="shared" si="0"/>
        <v>154280.24814968184</v>
      </c>
      <c r="H3" s="67">
        <f t="shared" ref="H3:K4" si="1">G3*(1+$N$9)</f>
        <v>154913.76150470439</v>
      </c>
      <c r="I3" s="67">
        <f t="shared" si="1"/>
        <v>155549.87622429439</v>
      </c>
      <c r="J3" s="67">
        <f t="shared" si="1"/>
        <v>156188.60299030654</v>
      </c>
      <c r="K3" s="67">
        <f t="shared" si="1"/>
        <v>156829.95252845791</v>
      </c>
      <c r="L3" s="89" t="s">
        <v>219</v>
      </c>
      <c r="N3" s="64">
        <v>0.91839999999999999</v>
      </c>
      <c r="O3" s="9" t="s">
        <v>203</v>
      </c>
    </row>
    <row r="4" spans="1:18" s="60" customFormat="1" ht="62.25" customHeight="1" x14ac:dyDescent="0.3">
      <c r="A4" s="105" t="s">
        <v>170</v>
      </c>
      <c r="B4" s="63">
        <f>SUMIFS('Form 1.1c'!J:J, 'Form 1.1c'!$B:$B, "Moreno Valley Utilities")*1000</f>
        <v>158000</v>
      </c>
      <c r="C4" s="63">
        <f>SUMIFS('Form 1.1c'!K:K, 'Form 1.1c'!$B:$B, "Moreno Valley Utilities")*1000</f>
        <v>159000</v>
      </c>
      <c r="D4" s="63">
        <f>SUMIFS('Form 1.1c'!L:L, 'Form 1.1c'!$B:$B, "Moreno Valley Utilities")*1000</f>
        <v>160000</v>
      </c>
      <c r="E4" s="63">
        <f>SUMIFS('Form 1.1c'!M:M, 'Form 1.1c'!$B:$B, "Moreno Valley Utilities")*1000</f>
        <v>160000</v>
      </c>
      <c r="F4" s="63">
        <f>SUMIFS('Form 1.1c'!N:N, 'Form 1.1c'!$B:$B, "Moreno Valley Utilities")*1000</f>
        <v>161000</v>
      </c>
      <c r="G4" s="63">
        <f>SUMIFS('Form 1.1c'!O:O, 'Form 1.1c'!$B:$B, "Moreno Valley Utilities")*1000</f>
        <v>161000</v>
      </c>
      <c r="H4" s="67">
        <f>AVERAGE(E4:G4)*(1+$N$9)</f>
        <v>161326.40425628694</v>
      </c>
      <c r="I4" s="63">
        <f t="shared" si="1"/>
        <v>161988.85089375262</v>
      </c>
      <c r="J4" s="63">
        <f t="shared" si="1"/>
        <v>162654.01770309292</v>
      </c>
      <c r="K4" s="63">
        <f t="shared" si="1"/>
        <v>163321.9158540151</v>
      </c>
      <c r="L4" s="89" t="s">
        <v>222</v>
      </c>
      <c r="N4" s="70">
        <f>0.15</f>
        <v>0.15</v>
      </c>
      <c r="O4" s="89" t="s">
        <v>166</v>
      </c>
    </row>
    <row r="5" spans="1:18" s="60" customFormat="1" ht="28.9" x14ac:dyDescent="0.3">
      <c r="A5" s="105" t="s">
        <v>194</v>
      </c>
      <c r="B5" s="63">
        <f t="shared" ref="B5:K5" si="2">IF(AND(0&lt;(B3-B4)/B3,(B3-B4)/B3&lt;$N$4),B4,B3*(1-$N$5))</f>
        <v>140570.73785417288</v>
      </c>
      <c r="C5" s="63">
        <f t="shared" si="2"/>
        <v>141147.95652489731</v>
      </c>
      <c r="D5" s="63">
        <f t="shared" si="2"/>
        <v>141727.54540011036</v>
      </c>
      <c r="E5" s="63">
        <f t="shared" si="2"/>
        <v>142309.51421246558</v>
      </c>
      <c r="F5" s="63">
        <f t="shared" si="2"/>
        <v>142893.87273458115</v>
      </c>
      <c r="G5" s="63">
        <f t="shared" si="2"/>
        <v>143480.6307792041</v>
      </c>
      <c r="H5" s="63">
        <f t="shared" si="2"/>
        <v>144069.79819937507</v>
      </c>
      <c r="I5" s="63">
        <f t="shared" si="2"/>
        <v>144661.38488859378</v>
      </c>
      <c r="J5" s="63">
        <f t="shared" si="2"/>
        <v>145255.40078098507</v>
      </c>
      <c r="K5" s="63">
        <f t="shared" si="2"/>
        <v>145851.85585146584</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14.45" x14ac:dyDescent="0.3">
      <c r="A8" s="105" t="s">
        <v>173</v>
      </c>
      <c r="B8" s="63">
        <v>0</v>
      </c>
      <c r="C8" s="63">
        <v>0</v>
      </c>
      <c r="D8" s="63">
        <v>0</v>
      </c>
      <c r="E8" s="63">
        <v>0</v>
      </c>
      <c r="F8" s="63">
        <v>0</v>
      </c>
      <c r="G8" s="63">
        <v>0</v>
      </c>
      <c r="H8" s="63">
        <v>0</v>
      </c>
      <c r="I8" s="63">
        <v>0</v>
      </c>
      <c r="J8" s="63">
        <v>0</v>
      </c>
      <c r="K8" s="63">
        <v>0</v>
      </c>
      <c r="L8" s="120" t="s">
        <v>246</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4.1062505578026709E-3</v>
      </c>
      <c r="O9" s="89" t="s">
        <v>206</v>
      </c>
    </row>
    <row r="10" spans="1:18" s="60" customFormat="1" ht="15.6" x14ac:dyDescent="0.3">
      <c r="A10" s="105" t="s">
        <v>174</v>
      </c>
      <c r="B10" s="63">
        <f>B5*B9</f>
        <v>47794.050870418781</v>
      </c>
      <c r="C10" s="63">
        <f t="shared" ref="C10:K10" si="3">C5*C9</f>
        <v>50813.264348963028</v>
      </c>
      <c r="D10" s="63">
        <f t="shared" si="3"/>
        <v>52439.191798040833</v>
      </c>
      <c r="E10" s="63">
        <f t="shared" si="3"/>
        <v>55500.710542861576</v>
      </c>
      <c r="F10" s="63">
        <f t="shared" si="3"/>
        <v>58586.487821178271</v>
      </c>
      <c r="G10" s="63">
        <f t="shared" si="3"/>
        <v>60261.86492726572</v>
      </c>
      <c r="H10" s="63">
        <f t="shared" si="3"/>
        <v>63390.711207725035</v>
      </c>
      <c r="I10" s="63">
        <f t="shared" si="3"/>
        <v>66544.237048753144</v>
      </c>
      <c r="J10" s="63">
        <f t="shared" si="3"/>
        <v>69722.592374872838</v>
      </c>
      <c r="K10" s="63">
        <f t="shared" si="3"/>
        <v>72925.927925732918</v>
      </c>
      <c r="L10" s="89" t="s">
        <v>207</v>
      </c>
      <c r="N10" s="68"/>
      <c r="O10" s="62"/>
    </row>
    <row r="11" spans="1:18" s="60" customFormat="1" ht="28.9" x14ac:dyDescent="0.3">
      <c r="A11" s="105" t="s">
        <v>175</v>
      </c>
      <c r="B11" s="63">
        <f t="shared" ref="B11:K11" si="4">MAX(B3-SUM(B6:B8,B10), B3*$N$6)</f>
        <v>103357.28015557356</v>
      </c>
      <c r="C11" s="63">
        <f t="shared" si="4"/>
        <v>100958.73191436742</v>
      </c>
      <c r="D11" s="63">
        <f t="shared" si="4"/>
        <v>99956.01830960474</v>
      </c>
      <c r="E11" s="63">
        <f t="shared" si="4"/>
        <v>97520.27248129496</v>
      </c>
      <c r="F11" s="63">
        <f t="shared" si="4"/>
        <v>95062.83769987672</v>
      </c>
      <c r="G11" s="63">
        <f t="shared" si="4"/>
        <v>94018.383222416116</v>
      </c>
      <c r="H11" s="63">
        <f t="shared" si="4"/>
        <v>91523.05029697936</v>
      </c>
      <c r="I11" s="63">
        <f t="shared" si="4"/>
        <v>89005.639175541248</v>
      </c>
      <c r="J11" s="63">
        <f t="shared" si="4"/>
        <v>86466.010615433697</v>
      </c>
      <c r="K11" s="63">
        <f t="shared" si="4"/>
        <v>83904.024602724996</v>
      </c>
      <c r="L11" s="89" t="s">
        <v>208</v>
      </c>
      <c r="N11" s="68"/>
      <c r="O11" s="62"/>
    </row>
    <row r="12" spans="1:18" s="60" customFormat="1" ht="43.9" x14ac:dyDescent="0.35">
      <c r="A12" s="105" t="s">
        <v>197</v>
      </c>
      <c r="B12" s="63">
        <f t="shared" ref="B12:K12" si="5">B6*$N$3+B11*$N$2</f>
        <v>45001.759779736734</v>
      </c>
      <c r="C12" s="63">
        <f t="shared" si="5"/>
        <v>43957.431875515576</v>
      </c>
      <c r="D12" s="63">
        <f t="shared" si="5"/>
        <v>43520.850372001907</v>
      </c>
      <c r="E12" s="63">
        <f t="shared" si="5"/>
        <v>42460.326638355829</v>
      </c>
      <c r="F12" s="63">
        <f t="shared" si="5"/>
        <v>41390.359534526324</v>
      </c>
      <c r="G12" s="63">
        <f t="shared" si="5"/>
        <v>40935.604055039978</v>
      </c>
      <c r="H12" s="63">
        <f t="shared" si="5"/>
        <v>39849.136099304815</v>
      </c>
      <c r="I12" s="63">
        <f t="shared" si="5"/>
        <v>38753.05529703066</v>
      </c>
      <c r="J12" s="63">
        <f t="shared" si="5"/>
        <v>37647.301021959829</v>
      </c>
      <c r="K12" s="63">
        <f t="shared" si="5"/>
        <v>36531.812312026464</v>
      </c>
      <c r="L12" s="108" t="s">
        <v>209</v>
      </c>
    </row>
    <row r="13" spans="1:18" s="60" customFormat="1" ht="86.45" customHeight="1"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8" s="60" customFormat="1" ht="30" x14ac:dyDescent="0.35">
      <c r="A16" s="105" t="s">
        <v>199</v>
      </c>
      <c r="B16" s="82">
        <f t="shared" ref="B16:K16" si="7">B12/B3</f>
        <v>0.29772652000000005</v>
      </c>
      <c r="C16" s="82">
        <f t="shared" si="7"/>
        <v>0.28962808000000001</v>
      </c>
      <c r="D16" s="82">
        <f t="shared" si="7"/>
        <v>0.28557886000000005</v>
      </c>
      <c r="E16" s="82">
        <f t="shared" si="7"/>
        <v>0.27748042000000001</v>
      </c>
      <c r="F16" s="82">
        <f t="shared" si="7"/>
        <v>0.26938197999999997</v>
      </c>
      <c r="G16" s="82">
        <f t="shared" si="7"/>
        <v>0.26533276</v>
      </c>
      <c r="H16" s="82">
        <f t="shared" si="7"/>
        <v>0.25723432000000002</v>
      </c>
      <c r="I16" s="82">
        <f t="shared" si="7"/>
        <v>0.24913588</v>
      </c>
      <c r="J16" s="82">
        <f t="shared" si="7"/>
        <v>0.24103743999999999</v>
      </c>
      <c r="K16" s="82">
        <f t="shared" si="7"/>
        <v>0.23293900000000003</v>
      </c>
      <c r="L16" s="89" t="s">
        <v>212</v>
      </c>
    </row>
    <row r="17" spans="1:18"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8" ht="43.9" thickBot="1" x14ac:dyDescent="0.35">
      <c r="A18" s="128" t="s">
        <v>201</v>
      </c>
      <c r="B18" s="84">
        <f t="shared" ref="B18:K18" si="9">B12*(B14/$N$7)-B17</f>
        <v>43203.804629900013</v>
      </c>
      <c r="C18" s="84">
        <f t="shared" si="9"/>
        <v>40444.969633993765</v>
      </c>
      <c r="D18" s="84">
        <f t="shared" si="9"/>
        <v>38304.485227531644</v>
      </c>
      <c r="E18" s="84">
        <f t="shared" si="9"/>
        <v>35674.657516362422</v>
      </c>
      <c r="F18" s="84">
        <f t="shared" si="9"/>
        <v>33122.015091671485</v>
      </c>
      <c r="G18" s="84">
        <f t="shared" si="9"/>
        <v>31122.60378802687</v>
      </c>
      <c r="H18" s="84">
        <f t="shared" si="9"/>
        <v>28751.315587512519</v>
      </c>
      <c r="I18" s="84">
        <f t="shared" si="9"/>
        <v>26412.188099033821</v>
      </c>
      <c r="J18" s="84">
        <f t="shared" si="9"/>
        <v>24154.437553454842</v>
      </c>
      <c r="K18" s="84">
        <f t="shared" si="9"/>
        <v>21936.258626845505</v>
      </c>
      <c r="L18" s="93" t="s">
        <v>214</v>
      </c>
      <c r="N18" s="60"/>
      <c r="O18" s="60"/>
      <c r="P18" s="60"/>
      <c r="Q18" s="60"/>
      <c r="R18" s="60"/>
    </row>
    <row r="19" spans="1:18" ht="14.45" x14ac:dyDescent="0.3">
      <c r="A19" s="85"/>
      <c r="B19" s="85"/>
      <c r="C19" s="85"/>
      <c r="D19" s="85"/>
      <c r="E19" s="85"/>
      <c r="F19" s="85"/>
      <c r="G19" s="85"/>
      <c r="H19" s="85"/>
      <c r="I19" s="85"/>
      <c r="J19" s="85"/>
      <c r="K19" s="85"/>
    </row>
  </sheetData>
  <mergeCells count="3">
    <mergeCell ref="B1:L1"/>
    <mergeCell ref="N1:O1"/>
    <mergeCell ref="B13:J1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34" customWidth="1"/>
    <col min="2" max="11" width="8" bestFit="1" customWidth="1"/>
    <col min="12" max="12" width="52.5703125" style="3" customWidth="1"/>
    <col min="13" max="13" width="5.7109375" bestFit="1" customWidth="1"/>
    <col min="14" max="14" width="8.7109375" customWidth="1"/>
    <col min="15" max="15" width="41.42578125" customWidth="1"/>
  </cols>
  <sheetData>
    <row r="1" spans="1:18" s="60" customFormat="1" ht="15.6" x14ac:dyDescent="0.3">
      <c r="A1" s="103" t="s">
        <v>20</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v>62469.428420464108</v>
      </c>
      <c r="C3" s="67">
        <f t="shared" ref="C3:K4" si="0">B3*(1+$N$9)</f>
        <v>62949.191753204621</v>
      </c>
      <c r="D3" s="67">
        <f t="shared" si="0"/>
        <v>63432.639653921215</v>
      </c>
      <c r="E3" s="67">
        <f t="shared" si="0"/>
        <v>63919.800419985208</v>
      </c>
      <c r="F3" s="67">
        <f t="shared" si="0"/>
        <v>64410.702566090877</v>
      </c>
      <c r="G3" s="67">
        <f t="shared" si="0"/>
        <v>64905.374825924497</v>
      </c>
      <c r="H3" s="67">
        <f t="shared" si="0"/>
        <v>65403.846153846185</v>
      </c>
      <c r="I3" s="67">
        <f t="shared" si="0"/>
        <v>65906.145726584684</v>
      </c>
      <c r="J3" s="67">
        <f t="shared" si="0"/>
        <v>66412.302944945113</v>
      </c>
      <c r="K3" s="67">
        <f t="shared" si="0"/>
        <v>66922.347435529911</v>
      </c>
      <c r="L3" s="89" t="s">
        <v>219</v>
      </c>
      <c r="N3" s="64">
        <v>0.91839999999999999</v>
      </c>
      <c r="O3" s="9" t="s">
        <v>203</v>
      </c>
    </row>
    <row r="4" spans="1:18" s="60" customFormat="1" ht="57.6" x14ac:dyDescent="0.3">
      <c r="A4" s="105" t="s">
        <v>170</v>
      </c>
      <c r="B4" s="63">
        <f>SUMIFS('Form 1.1c'!J:J, 'Form 1.1c'!$B:$B, "City of Needles")*1000</f>
        <v>55000</v>
      </c>
      <c r="C4" s="63">
        <f>SUMIFS('Form 1.1c'!K:K, 'Form 1.1c'!$B:$B, "City of Needles")*1000</f>
        <v>56000</v>
      </c>
      <c r="D4" s="63">
        <f>SUMIFS('Form 1.1c'!L:L, 'Form 1.1c'!$B:$B, "City of Needles")*1000</f>
        <v>56000</v>
      </c>
      <c r="E4" s="63">
        <f>SUMIFS('Form 1.1c'!M:M, 'Form 1.1c'!$B:$B, "City of Needles")*1000</f>
        <v>57000</v>
      </c>
      <c r="F4" s="63">
        <f>SUMIFS('Form 1.1c'!N:N, 'Form 1.1c'!$B:$B, "City of Needles")*1000</f>
        <v>57000</v>
      </c>
      <c r="G4" s="63">
        <f>SUMIFS('Form 1.1c'!O:O, 'Form 1.1c'!$B:$B, "City of Needles")*1000</f>
        <v>57000</v>
      </c>
      <c r="H4" s="67">
        <f>AVERAGE(E4:G4)*(1+$N$9)</f>
        <v>57437.758286855889</v>
      </c>
      <c r="I4" s="63">
        <f t="shared" si="0"/>
        <v>57878.878544197942</v>
      </c>
      <c r="J4" s="63">
        <f t="shared" si="0"/>
        <v>58323.386591858442</v>
      </c>
      <c r="K4" s="63">
        <f t="shared" si="0"/>
        <v>58771.30844796521</v>
      </c>
      <c r="L4" s="89" t="s">
        <v>222</v>
      </c>
      <c r="N4" s="70">
        <f>0.15</f>
        <v>0.15</v>
      </c>
      <c r="O4" s="89" t="s">
        <v>166</v>
      </c>
    </row>
    <row r="5" spans="1:18" s="60" customFormat="1" ht="28.9" x14ac:dyDescent="0.3">
      <c r="A5" s="105" t="s">
        <v>194</v>
      </c>
      <c r="B5" s="63">
        <f>IF(AND(0&lt;(B3-B4)/B3,(B3-B4)/B3&lt;$N$4),B4,B3*(1-$N$5))</f>
        <v>55000</v>
      </c>
      <c r="C5" s="63">
        <f t="shared" ref="C5:K5" si="1">IF(AND(0&lt;(C3-C4)/C3,(C3-C4)/C3&lt;$N$4),C4,C3*(1-$N$5))</f>
        <v>56000</v>
      </c>
      <c r="D5" s="63">
        <f t="shared" si="1"/>
        <v>56000</v>
      </c>
      <c r="E5" s="63">
        <f t="shared" si="1"/>
        <v>57000</v>
      </c>
      <c r="F5" s="63">
        <f t="shared" si="1"/>
        <v>57000</v>
      </c>
      <c r="G5" s="63">
        <f t="shared" si="1"/>
        <v>57000</v>
      </c>
      <c r="H5" s="63">
        <f t="shared" si="1"/>
        <v>57437.758286855889</v>
      </c>
      <c r="I5" s="63">
        <f t="shared" si="1"/>
        <v>57878.878544197942</v>
      </c>
      <c r="J5" s="63">
        <f t="shared" si="1"/>
        <v>58323.386591858442</v>
      </c>
      <c r="K5" s="63">
        <f t="shared" si="1"/>
        <v>58771.30844796521</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14.45" x14ac:dyDescent="0.3">
      <c r="A8" s="105" t="s">
        <v>173</v>
      </c>
      <c r="B8" s="63">
        <v>30000</v>
      </c>
      <c r="C8" s="67">
        <f>B8</f>
        <v>30000</v>
      </c>
      <c r="D8" s="67">
        <f t="shared" ref="D8:K8" si="2">C8</f>
        <v>30000</v>
      </c>
      <c r="E8" s="67">
        <f t="shared" si="2"/>
        <v>30000</v>
      </c>
      <c r="F8" s="67">
        <f t="shared" si="2"/>
        <v>30000</v>
      </c>
      <c r="G8" s="67">
        <f t="shared" si="2"/>
        <v>30000</v>
      </c>
      <c r="H8" s="67">
        <f t="shared" si="2"/>
        <v>30000</v>
      </c>
      <c r="I8" s="67">
        <f t="shared" si="2"/>
        <v>30000</v>
      </c>
      <c r="J8" s="67">
        <f t="shared" si="2"/>
        <v>30000</v>
      </c>
      <c r="K8" s="67">
        <f t="shared" si="2"/>
        <v>30000</v>
      </c>
      <c r="L8" s="89" t="s">
        <v>258</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7.6799699448402148E-3</v>
      </c>
      <c r="O9" s="89" t="s">
        <v>206</v>
      </c>
    </row>
    <row r="10" spans="1:18" s="60" customFormat="1" ht="15.6" x14ac:dyDescent="0.3">
      <c r="A10" s="105" t="s">
        <v>174</v>
      </c>
      <c r="B10" s="63">
        <f>B5*B9</f>
        <v>18700</v>
      </c>
      <c r="C10" s="63">
        <f t="shared" ref="C10:K10" si="3">C5*C9</f>
        <v>20160</v>
      </c>
      <c r="D10" s="63">
        <f t="shared" si="3"/>
        <v>20720</v>
      </c>
      <c r="E10" s="63">
        <f t="shared" si="3"/>
        <v>22230</v>
      </c>
      <c r="F10" s="63">
        <f t="shared" si="3"/>
        <v>23370</v>
      </c>
      <c r="G10" s="63">
        <f t="shared" si="3"/>
        <v>23940</v>
      </c>
      <c r="H10" s="63">
        <f t="shared" si="3"/>
        <v>25272.613646216592</v>
      </c>
      <c r="I10" s="63">
        <f t="shared" si="3"/>
        <v>26624.284130331056</v>
      </c>
      <c r="J10" s="63">
        <f t="shared" si="3"/>
        <v>27995.225564092052</v>
      </c>
      <c r="K10" s="63">
        <f t="shared" si="3"/>
        <v>29385.654223982605</v>
      </c>
      <c r="L10" s="89" t="s">
        <v>207</v>
      </c>
      <c r="N10" s="68"/>
      <c r="O10" s="62"/>
    </row>
    <row r="11" spans="1:18" s="60" customFormat="1" ht="28.9" x14ac:dyDescent="0.3">
      <c r="A11" s="105" t="s">
        <v>175</v>
      </c>
      <c r="B11" s="63">
        <f t="shared" ref="B11:K11" si="4">MAX(B3-SUM(B6:B8,B10), B3*$N$6)</f>
        <v>13769.428420464108</v>
      </c>
      <c r="C11" s="63">
        <f t="shared" si="4"/>
        <v>12789.191753204621</v>
      </c>
      <c r="D11" s="63">
        <f t="shared" si="4"/>
        <v>12712.639653921215</v>
      </c>
      <c r="E11" s="63">
        <f t="shared" si="4"/>
        <v>11689.800419985208</v>
      </c>
      <c r="F11" s="63">
        <f t="shared" si="4"/>
        <v>11040.702566090877</v>
      </c>
      <c r="G11" s="63">
        <f t="shared" si="4"/>
        <v>10965.374825924497</v>
      </c>
      <c r="H11" s="63">
        <f t="shared" si="4"/>
        <v>10131.232507629597</v>
      </c>
      <c r="I11" s="63">
        <f t="shared" si="4"/>
        <v>9281.8615962536278</v>
      </c>
      <c r="J11" s="63">
        <f t="shared" si="4"/>
        <v>8417.0773808530648</v>
      </c>
      <c r="K11" s="63">
        <f t="shared" si="4"/>
        <v>7536.6932115473028</v>
      </c>
      <c r="L11" s="89" t="s">
        <v>208</v>
      </c>
      <c r="N11" s="68"/>
      <c r="O11" s="62"/>
    </row>
    <row r="12" spans="1:18" s="60" customFormat="1" ht="43.9" x14ac:dyDescent="0.35">
      <c r="A12" s="105" t="s">
        <v>197</v>
      </c>
      <c r="B12" s="63">
        <f t="shared" ref="B12:K12" si="5">B6*$N$3+B11*$N$2</f>
        <v>5995.2091342700724</v>
      </c>
      <c r="C12" s="63">
        <f t="shared" si="5"/>
        <v>5568.4140893452923</v>
      </c>
      <c r="D12" s="63">
        <f t="shared" si="5"/>
        <v>5535.0833053172973</v>
      </c>
      <c r="E12" s="63">
        <f t="shared" si="5"/>
        <v>5089.7391028615593</v>
      </c>
      <c r="F12" s="63">
        <f t="shared" si="5"/>
        <v>4807.121897275968</v>
      </c>
      <c r="G12" s="63">
        <f t="shared" si="5"/>
        <v>4774.3241992075264</v>
      </c>
      <c r="H12" s="63">
        <f t="shared" si="5"/>
        <v>4411.1386338219263</v>
      </c>
      <c r="I12" s="63">
        <f t="shared" si="5"/>
        <v>4041.3225390088296</v>
      </c>
      <c r="J12" s="63">
        <f t="shared" si="5"/>
        <v>3664.7954916234244</v>
      </c>
      <c r="K12" s="63">
        <f t="shared" si="5"/>
        <v>3281.4762243076957</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8" s="60" customFormat="1" ht="30" x14ac:dyDescent="0.35">
      <c r="A16" s="105" t="s">
        <v>199</v>
      </c>
      <c r="B16" s="82">
        <f t="shared" ref="B16:K16" si="7">B12/B3</f>
        <v>9.5970289561767883E-2</v>
      </c>
      <c r="C16" s="82">
        <f t="shared" si="7"/>
        <v>8.8458865543127721E-2</v>
      </c>
      <c r="D16" s="82">
        <f t="shared" si="7"/>
        <v>8.7259230193097212E-2</v>
      </c>
      <c r="E16" s="82">
        <f t="shared" si="7"/>
        <v>7.9626955488274614E-2</v>
      </c>
      <c r="F16" s="82">
        <f t="shared" si="7"/>
        <v>7.463234688898869E-2</v>
      </c>
      <c r="G16" s="82">
        <f t="shared" si="7"/>
        <v>7.3558225524653562E-2</v>
      </c>
      <c r="H16" s="82">
        <f t="shared" si="7"/>
        <v>6.7444636565345509E-2</v>
      </c>
      <c r="I16" s="82">
        <f t="shared" si="7"/>
        <v>6.1319357921103157E-2</v>
      </c>
      <c r="J16" s="82">
        <f t="shared" si="7"/>
        <v>5.51824786841301E-2</v>
      </c>
      <c r="K16" s="82">
        <f t="shared" si="7"/>
        <v>4.9034087267619049E-2</v>
      </c>
      <c r="L16" s="89" t="s">
        <v>212</v>
      </c>
    </row>
    <row r="17" spans="1:18"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8" ht="43.9" thickBot="1" x14ac:dyDescent="0.35">
      <c r="A18" s="128" t="s">
        <v>201</v>
      </c>
      <c r="B18" s="84">
        <f t="shared" ref="B18:K18" si="9">B12*(B14/$N$7)-B17</f>
        <v>5755.6825648632775</v>
      </c>
      <c r="C18" s="84">
        <f t="shared" si="9"/>
        <v>5123.4644323823313</v>
      </c>
      <c r="D18" s="84">
        <f t="shared" si="9"/>
        <v>4871.6538139631675</v>
      </c>
      <c r="E18" s="84">
        <f t="shared" si="9"/>
        <v>4276.3377891257524</v>
      </c>
      <c r="F18" s="84">
        <f t="shared" si="9"/>
        <v>3846.8272761985131</v>
      </c>
      <c r="G18" s="84">
        <f t="shared" si="9"/>
        <v>3629.8328518064272</v>
      </c>
      <c r="H18" s="84">
        <f t="shared" si="9"/>
        <v>3182.6546664708139</v>
      </c>
      <c r="I18" s="84">
        <f t="shared" si="9"/>
        <v>2754.367887926112</v>
      </c>
      <c r="J18" s="84">
        <f t="shared" si="9"/>
        <v>2351.3258970932902</v>
      </c>
      <c r="K18" s="84">
        <f t="shared" si="9"/>
        <v>1970.428144090755</v>
      </c>
      <c r="L18" s="93" t="s">
        <v>214</v>
      </c>
      <c r="N18" s="60"/>
      <c r="O18" s="60"/>
      <c r="P18" s="60"/>
      <c r="Q18" s="60"/>
      <c r="R18" s="60"/>
    </row>
    <row r="19" spans="1:18" ht="14.45" x14ac:dyDescent="0.3">
      <c r="A19" s="85"/>
      <c r="B19" s="85"/>
      <c r="C19" s="85"/>
      <c r="D19" s="85"/>
      <c r="E19" s="85"/>
      <c r="F19" s="85"/>
      <c r="G19" s="85"/>
      <c r="H19" s="85"/>
      <c r="I19" s="85"/>
      <c r="J19" s="85"/>
      <c r="K19" s="85"/>
      <c r="N19" s="60"/>
      <c r="O19" s="60"/>
      <c r="P19" s="60"/>
      <c r="Q19" s="60"/>
      <c r="R19" s="60"/>
    </row>
  </sheetData>
  <mergeCells count="3">
    <mergeCell ref="B1:L1"/>
    <mergeCell ref="N1:O1"/>
    <mergeCell ref="B13:J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heetViews>
  <sheetFormatPr defaultRowHeight="15" x14ac:dyDescent="0.25"/>
  <cols>
    <col min="1" max="1" width="37.7109375" customWidth="1"/>
    <col min="2" max="11" width="8" bestFit="1" customWidth="1"/>
    <col min="12" max="12" width="53.42578125" customWidth="1"/>
    <col min="15" max="15" width="40.140625" customWidth="1"/>
  </cols>
  <sheetData>
    <row r="1" spans="1:15" s="60" customFormat="1" ht="28.9" x14ac:dyDescent="0.3">
      <c r="A1" s="103" t="s">
        <v>185</v>
      </c>
      <c r="B1" s="141" t="s">
        <v>176</v>
      </c>
      <c r="C1" s="149"/>
      <c r="D1" s="149"/>
      <c r="E1" s="149"/>
      <c r="F1" s="149"/>
      <c r="G1" s="149"/>
      <c r="H1" s="149"/>
      <c r="I1" s="149"/>
      <c r="J1" s="149"/>
      <c r="K1" s="149"/>
      <c r="L1" s="127"/>
      <c r="N1" s="144" t="s">
        <v>196</v>
      </c>
      <c r="O1" s="145"/>
    </row>
    <row r="2" spans="1:15" s="60" customFormat="1" ht="14.45" x14ac:dyDescent="0.3">
      <c r="A2" s="104" t="s">
        <v>152</v>
      </c>
      <c r="B2" s="125">
        <v>2021</v>
      </c>
      <c r="C2" s="125">
        <v>2022</v>
      </c>
      <c r="D2" s="125">
        <v>2023</v>
      </c>
      <c r="E2" s="125">
        <v>2024</v>
      </c>
      <c r="F2" s="125">
        <v>2025</v>
      </c>
      <c r="G2" s="125">
        <v>2026</v>
      </c>
      <c r="H2" s="125">
        <v>2027</v>
      </c>
      <c r="I2" s="125">
        <v>2028</v>
      </c>
      <c r="J2" s="125">
        <v>2029</v>
      </c>
      <c r="K2" s="124">
        <v>2030</v>
      </c>
      <c r="L2" s="92" t="s">
        <v>177</v>
      </c>
      <c r="N2" s="61">
        <v>0.43540000000000001</v>
      </c>
      <c r="O2" s="61" t="s">
        <v>273</v>
      </c>
    </row>
    <row r="3" spans="1:15" s="60" customFormat="1" ht="72.599999999999994" x14ac:dyDescent="0.35">
      <c r="A3" s="105" t="s">
        <v>169</v>
      </c>
      <c r="B3" s="63">
        <v>86545.920016047618</v>
      </c>
      <c r="C3" s="63">
        <v>87289.092578560812</v>
      </c>
      <c r="D3" s="63">
        <v>87951.33992795943</v>
      </c>
      <c r="E3" s="63">
        <v>88735.623999999996</v>
      </c>
      <c r="F3" s="63">
        <v>89431.2</v>
      </c>
      <c r="G3" s="63">
        <v>90226.143999999986</v>
      </c>
      <c r="H3" s="67">
        <f>AVERAGE(E3:G3)*(1+$N$9)</f>
        <v>89830.962799384855</v>
      </c>
      <c r="I3" s="67">
        <f t="shared" ref="I3:K4" si="0">H3*(1+$N$9)</f>
        <v>90199.105486226457</v>
      </c>
      <c r="J3" s="67">
        <f t="shared" si="0"/>
        <v>90568.756884915856</v>
      </c>
      <c r="K3" s="67">
        <f t="shared" si="0"/>
        <v>90939.923178412879</v>
      </c>
      <c r="L3" s="89" t="s">
        <v>272</v>
      </c>
      <c r="N3" s="64">
        <v>0.91839999999999999</v>
      </c>
      <c r="O3" s="9" t="s">
        <v>203</v>
      </c>
    </row>
    <row r="4" spans="1:15" s="60" customFormat="1" ht="57.6" x14ac:dyDescent="0.3">
      <c r="A4" s="105" t="s">
        <v>170</v>
      </c>
      <c r="B4" s="63">
        <f>SUMIFS('Form 1.1c'!J:J, 'Form 1.1c'!$B:$B, "Port of Oakland")*1000</f>
        <v>49000</v>
      </c>
      <c r="C4" s="63">
        <f>SUMIFS('Form 1.1c'!K:K, 'Form 1.1c'!$B:$B, "Port of Oakland")*1000</f>
        <v>50000</v>
      </c>
      <c r="D4" s="63">
        <f>SUMIFS('Form 1.1c'!L:L, 'Form 1.1c'!$B:$B, "Port of Oakland")*1000</f>
        <v>50000</v>
      </c>
      <c r="E4" s="63">
        <f>SUMIFS('Form 1.1c'!M:M, 'Form 1.1c'!$B:$B, "Port of Oakland")*1000</f>
        <v>50000</v>
      </c>
      <c r="F4" s="63">
        <f>SUMIFS('Form 1.1c'!N:N, 'Form 1.1c'!$B:$B, "Port of Oakland")*1000</f>
        <v>51000</v>
      </c>
      <c r="G4" s="63">
        <f>SUMIFS('Form 1.1c'!O:O, 'Form 1.1c'!$B:$B, "Port of Oakland")*1000</f>
        <v>51000</v>
      </c>
      <c r="H4" s="67">
        <f>AVERAGE(E4:G4)*(1+$N$9)</f>
        <v>50874.307353337586</v>
      </c>
      <c r="I4" s="63">
        <f t="shared" si="0"/>
        <v>51082.798987141949</v>
      </c>
      <c r="J4" s="63">
        <f t="shared" si="0"/>
        <v>51292.145055407003</v>
      </c>
      <c r="K4" s="63">
        <f t="shared" si="0"/>
        <v>51502.349059751657</v>
      </c>
      <c r="L4" s="89" t="s">
        <v>222</v>
      </c>
      <c r="N4" s="70">
        <f>0.15</f>
        <v>0.15</v>
      </c>
      <c r="O4" s="61" t="s">
        <v>166</v>
      </c>
    </row>
    <row r="5" spans="1:15" s="60" customFormat="1" ht="28.9" x14ac:dyDescent="0.3">
      <c r="A5" s="105" t="s">
        <v>194</v>
      </c>
      <c r="B5" s="63">
        <f t="shared" ref="B5:K5" si="1">IF(AND(0&lt;(B3-B4)/B3,(B3-B4)/B3&lt;$N$4),B4,B3*(1-$N$5))</f>
        <v>80487.705614924285</v>
      </c>
      <c r="C5" s="63">
        <f t="shared" si="1"/>
        <v>81178.856098061544</v>
      </c>
      <c r="D5" s="63">
        <f t="shared" si="1"/>
        <v>81794.746133002263</v>
      </c>
      <c r="E5" s="63">
        <f t="shared" si="1"/>
        <v>82524.130319999997</v>
      </c>
      <c r="F5" s="63">
        <f t="shared" si="1"/>
        <v>83171.015999999989</v>
      </c>
      <c r="G5" s="63">
        <f t="shared" si="1"/>
        <v>83910.313919999986</v>
      </c>
      <c r="H5" s="63">
        <f t="shared" si="1"/>
        <v>83542.79540342791</v>
      </c>
      <c r="I5" s="63">
        <f t="shared" si="1"/>
        <v>83885.168102190597</v>
      </c>
      <c r="J5" s="63">
        <f t="shared" si="1"/>
        <v>84228.943902971747</v>
      </c>
      <c r="K5" s="63">
        <f t="shared" si="1"/>
        <v>84574.128555923977</v>
      </c>
      <c r="L5" s="89" t="s">
        <v>271</v>
      </c>
      <c r="N5" s="70">
        <f>0.07</f>
        <v>7.0000000000000007E-2</v>
      </c>
      <c r="O5" s="61" t="s">
        <v>270</v>
      </c>
    </row>
    <row r="6" spans="1:15" s="60" customFormat="1" ht="14.45" x14ac:dyDescent="0.3">
      <c r="A6" s="105" t="s">
        <v>171</v>
      </c>
      <c r="B6" s="63">
        <v>0</v>
      </c>
      <c r="C6" s="63">
        <v>0</v>
      </c>
      <c r="D6" s="63">
        <v>0</v>
      </c>
      <c r="E6" s="63">
        <v>0</v>
      </c>
      <c r="F6" s="63">
        <v>0</v>
      </c>
      <c r="G6" s="63">
        <v>0</v>
      </c>
      <c r="H6" s="63">
        <v>0</v>
      </c>
      <c r="I6" s="63">
        <v>0</v>
      </c>
      <c r="J6" s="63">
        <v>0</v>
      </c>
      <c r="K6" s="63">
        <v>0</v>
      </c>
      <c r="L6" s="120" t="s">
        <v>269</v>
      </c>
      <c r="N6" s="65">
        <v>0.05</v>
      </c>
      <c r="O6" s="61" t="s">
        <v>268</v>
      </c>
    </row>
    <row r="7" spans="1:15" s="60" customFormat="1" ht="14.45" x14ac:dyDescent="0.3">
      <c r="A7" s="105" t="s">
        <v>172</v>
      </c>
      <c r="B7" s="63">
        <v>0</v>
      </c>
      <c r="C7" s="63">
        <v>0</v>
      </c>
      <c r="D7" s="63">
        <v>0</v>
      </c>
      <c r="E7" s="63">
        <v>0</v>
      </c>
      <c r="F7" s="63">
        <v>0</v>
      </c>
      <c r="G7" s="63">
        <v>0</v>
      </c>
      <c r="H7" s="63">
        <v>0</v>
      </c>
      <c r="I7" s="63">
        <v>0</v>
      </c>
      <c r="J7" s="63">
        <v>0</v>
      </c>
      <c r="K7" s="63">
        <v>0</v>
      </c>
      <c r="L7" s="120" t="s">
        <v>267</v>
      </c>
      <c r="N7" s="86">
        <v>0.85099999999999998</v>
      </c>
      <c r="O7" s="61" t="s">
        <v>168</v>
      </c>
    </row>
    <row r="8" spans="1:15" s="60" customFormat="1" ht="43.15" x14ac:dyDescent="0.3">
      <c r="A8" s="105" t="s">
        <v>173</v>
      </c>
      <c r="B8" s="63">
        <v>10651</v>
      </c>
      <c r="C8" s="63">
        <v>10650</v>
      </c>
      <c r="D8" s="63">
        <v>10650</v>
      </c>
      <c r="E8" s="63">
        <v>10650</v>
      </c>
      <c r="F8" s="63">
        <v>10650</v>
      </c>
      <c r="G8" s="63">
        <v>10650</v>
      </c>
      <c r="H8" s="67">
        <f>AVERAGE(E8:G8)</f>
        <v>10650</v>
      </c>
      <c r="I8" s="67">
        <f t="shared" ref="I8:K8" si="2">H8</f>
        <v>10650</v>
      </c>
      <c r="J8" s="67">
        <f t="shared" si="2"/>
        <v>10650</v>
      </c>
      <c r="K8" s="67">
        <f t="shared" si="2"/>
        <v>10650</v>
      </c>
      <c r="L8" s="89" t="s">
        <v>266</v>
      </c>
    </row>
    <row r="9" spans="1:15" s="60" customFormat="1" ht="28.9" x14ac:dyDescent="0.3">
      <c r="A9" s="105" t="s">
        <v>153</v>
      </c>
      <c r="B9" s="73">
        <v>0.34</v>
      </c>
      <c r="C9" s="59">
        <v>0.36</v>
      </c>
      <c r="D9" s="59">
        <v>0.37</v>
      </c>
      <c r="E9" s="59">
        <v>0.39</v>
      </c>
      <c r="F9" s="59">
        <v>0.41</v>
      </c>
      <c r="G9" s="59">
        <v>0.42</v>
      </c>
      <c r="H9" s="59">
        <v>0.44</v>
      </c>
      <c r="I9" s="59">
        <v>0.46</v>
      </c>
      <c r="J9" s="59">
        <v>0.48</v>
      </c>
      <c r="K9" s="59">
        <v>0.5</v>
      </c>
      <c r="L9" s="89" t="s">
        <v>248</v>
      </c>
      <c r="N9" s="66">
        <v>4.0981714474523923E-3</v>
      </c>
      <c r="O9" s="89" t="s">
        <v>206</v>
      </c>
    </row>
    <row r="10" spans="1:15" s="60" customFormat="1" ht="15.6" x14ac:dyDescent="0.3">
      <c r="A10" s="105" t="s">
        <v>174</v>
      </c>
      <c r="B10" s="63">
        <f t="shared" ref="B10:K10" si="3">B5*B9</f>
        <v>27365.81990907426</v>
      </c>
      <c r="C10" s="63">
        <f t="shared" si="3"/>
        <v>29224.388195302156</v>
      </c>
      <c r="D10" s="63">
        <f t="shared" si="3"/>
        <v>30264.056069210837</v>
      </c>
      <c r="E10" s="63">
        <f t="shared" si="3"/>
        <v>32184.410824800001</v>
      </c>
      <c r="F10" s="63">
        <f t="shared" si="3"/>
        <v>34100.116559999995</v>
      </c>
      <c r="G10" s="63">
        <f t="shared" si="3"/>
        <v>35242.331846399989</v>
      </c>
      <c r="H10" s="63">
        <f t="shared" si="3"/>
        <v>36758.829977508278</v>
      </c>
      <c r="I10" s="63">
        <f t="shared" si="3"/>
        <v>38587.177327007674</v>
      </c>
      <c r="J10" s="63">
        <f t="shared" si="3"/>
        <v>40429.893073426436</v>
      </c>
      <c r="K10" s="63">
        <f t="shared" si="3"/>
        <v>42287.064277961988</v>
      </c>
      <c r="L10" s="89" t="s">
        <v>207</v>
      </c>
      <c r="N10" s="68"/>
      <c r="O10" s="62"/>
    </row>
    <row r="11" spans="1:15" s="60" customFormat="1" ht="28.9" x14ac:dyDescent="0.3">
      <c r="A11" s="105" t="s">
        <v>175</v>
      </c>
      <c r="B11" s="63">
        <f t="shared" ref="B11:K11" si="4">MAX(B3-SUM(B6:B8,B10), B3*$N$6)</f>
        <v>48529.100106973361</v>
      </c>
      <c r="C11" s="63">
        <f t="shared" si="4"/>
        <v>47414.704383258657</v>
      </c>
      <c r="D11" s="63">
        <f t="shared" si="4"/>
        <v>47037.283858748589</v>
      </c>
      <c r="E11" s="63">
        <f t="shared" si="4"/>
        <v>45901.213175199999</v>
      </c>
      <c r="F11" s="63">
        <f t="shared" si="4"/>
        <v>44681.083440000002</v>
      </c>
      <c r="G11" s="63">
        <f t="shared" si="4"/>
        <v>44333.812153599996</v>
      </c>
      <c r="H11" s="63">
        <f t="shared" si="4"/>
        <v>42422.132821876578</v>
      </c>
      <c r="I11" s="63">
        <f t="shared" si="4"/>
        <v>40961.928159218784</v>
      </c>
      <c r="J11" s="63">
        <f t="shared" si="4"/>
        <v>39488.86381148942</v>
      </c>
      <c r="K11" s="63">
        <f t="shared" si="4"/>
        <v>38002.85890045089</v>
      </c>
      <c r="L11" s="89" t="s">
        <v>208</v>
      </c>
      <c r="N11" s="68"/>
      <c r="O11" s="62"/>
    </row>
    <row r="12" spans="1:15" s="60" customFormat="1" ht="43.9" x14ac:dyDescent="0.35">
      <c r="A12" s="105" t="s">
        <v>197</v>
      </c>
      <c r="B12" s="63">
        <f t="shared" ref="B12:K12" si="5">B6*$N$3+B11*$N$2</f>
        <v>21129.570186576202</v>
      </c>
      <c r="C12" s="63">
        <f t="shared" si="5"/>
        <v>20644.36228847082</v>
      </c>
      <c r="D12" s="63">
        <f t="shared" si="5"/>
        <v>20480.033392099136</v>
      </c>
      <c r="E12" s="63">
        <f t="shared" si="5"/>
        <v>19985.388216482079</v>
      </c>
      <c r="F12" s="63">
        <f t="shared" si="5"/>
        <v>19454.143729776002</v>
      </c>
      <c r="G12" s="63">
        <f t="shared" si="5"/>
        <v>19302.94181167744</v>
      </c>
      <c r="H12" s="63">
        <f t="shared" si="5"/>
        <v>18470.596630645061</v>
      </c>
      <c r="I12" s="63">
        <f t="shared" si="5"/>
        <v>17834.82352052386</v>
      </c>
      <c r="J12" s="63">
        <f t="shared" si="5"/>
        <v>17193.451303522495</v>
      </c>
      <c r="K12" s="63">
        <f t="shared" si="5"/>
        <v>16546.444765256318</v>
      </c>
      <c r="L12" s="108" t="s">
        <v>209</v>
      </c>
    </row>
    <row r="13" spans="1:15" s="60" customFormat="1" ht="86.45" x14ac:dyDescent="0.3">
      <c r="A13" s="105"/>
      <c r="B13" s="146" t="s">
        <v>210</v>
      </c>
      <c r="C13" s="147"/>
      <c r="D13" s="147"/>
      <c r="E13" s="147"/>
      <c r="F13" s="147"/>
      <c r="G13" s="147"/>
      <c r="H13" s="147"/>
      <c r="I13" s="147"/>
      <c r="J13" s="148"/>
      <c r="K13" s="87">
        <v>0</v>
      </c>
      <c r="L13" s="108" t="s">
        <v>216</v>
      </c>
    </row>
    <row r="14" spans="1:15" s="60" customFormat="1"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row>
    <row r="15" spans="1:15"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5" s="60" customFormat="1" ht="30" x14ac:dyDescent="0.35">
      <c r="A16" s="105" t="s">
        <v>199</v>
      </c>
      <c r="B16" s="82">
        <f>B12/B3</f>
        <v>0.2441428802496789</v>
      </c>
      <c r="C16" s="82">
        <f t="shared" ref="C16:K16" si="7">C12/C3</f>
        <v>0.23650563522459286</v>
      </c>
      <c r="D16" s="82">
        <f t="shared" si="7"/>
        <v>0.23285641138468435</v>
      </c>
      <c r="E16" s="82">
        <f t="shared" si="7"/>
        <v>0.22522395533593226</v>
      </c>
      <c r="F16" s="82">
        <f t="shared" si="7"/>
        <v>0.21753195450554172</v>
      </c>
      <c r="G16" s="82">
        <f t="shared" si="7"/>
        <v>0.2139395629239951</v>
      </c>
      <c r="H16" s="82">
        <f t="shared" si="7"/>
        <v>0.20561503578554036</v>
      </c>
      <c r="I16" s="82">
        <f t="shared" si="7"/>
        <v>0.19772727705428592</v>
      </c>
      <c r="J16" s="82">
        <f t="shared" si="7"/>
        <v>0.18983865843902345</v>
      </c>
      <c r="K16" s="82">
        <f t="shared" si="7"/>
        <v>0.18194918344932226</v>
      </c>
      <c r="L16" s="89" t="s">
        <v>212</v>
      </c>
    </row>
    <row r="17" spans="1:15"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5" ht="43.9" thickBot="1" x14ac:dyDescent="0.35">
      <c r="A18" s="128" t="s">
        <v>201</v>
      </c>
      <c r="B18" s="84">
        <f t="shared" ref="B18:K18" si="9">B12*(B14/$N$7)-B17</f>
        <v>20285.380543399246</v>
      </c>
      <c r="C18" s="84">
        <f t="shared" si="9"/>
        <v>18994.754021001943</v>
      </c>
      <c r="D18" s="84">
        <f t="shared" si="9"/>
        <v>18025.317286348123</v>
      </c>
      <c r="E18" s="84">
        <f t="shared" si="9"/>
        <v>16791.483636644756</v>
      </c>
      <c r="F18" s="84">
        <f t="shared" si="9"/>
        <v>15567.887050502302</v>
      </c>
      <c r="G18" s="84">
        <f t="shared" si="9"/>
        <v>14675.679614753588</v>
      </c>
      <c r="H18" s="84">
        <f t="shared" si="9"/>
        <v>13326.611435036506</v>
      </c>
      <c r="I18" s="84">
        <f t="shared" si="9"/>
        <v>12155.343880028013</v>
      </c>
      <c r="J18" s="84">
        <f t="shared" si="9"/>
        <v>11031.286030227126</v>
      </c>
      <c r="K18" s="84">
        <f t="shared" si="9"/>
        <v>9935.6442714993882</v>
      </c>
      <c r="L18" s="93" t="s">
        <v>214</v>
      </c>
      <c r="M18" s="60"/>
      <c r="N18" s="60"/>
      <c r="O18" s="60"/>
    </row>
    <row r="19" spans="1:15" x14ac:dyDescent="0.25">
      <c r="A19" s="85"/>
      <c r="B19" s="85"/>
      <c r="C19" s="85"/>
      <c r="D19" s="85"/>
      <c r="E19" s="85"/>
      <c r="F19" s="85"/>
      <c r="G19" s="85"/>
      <c r="H19" s="85"/>
      <c r="I19" s="85"/>
      <c r="J19" s="85"/>
      <c r="K19" s="85"/>
      <c r="L19" s="60"/>
      <c r="M19" s="60"/>
      <c r="N19" s="60"/>
      <c r="O19" s="60"/>
    </row>
    <row r="20" spans="1:15" x14ac:dyDescent="0.25">
      <c r="A20" s="85"/>
      <c r="B20" s="85"/>
      <c r="C20" s="85"/>
      <c r="D20" s="85"/>
      <c r="E20" s="85"/>
      <c r="F20" s="85"/>
      <c r="G20" s="85"/>
      <c r="H20" s="85"/>
      <c r="I20" s="85"/>
      <c r="J20" s="85"/>
      <c r="K20" s="85"/>
      <c r="L20" s="60"/>
      <c r="M20" s="60"/>
      <c r="N20" s="60"/>
      <c r="O20" s="60"/>
    </row>
  </sheetData>
  <mergeCells count="3">
    <mergeCell ref="N1:O1"/>
    <mergeCell ref="B13:J13"/>
    <mergeCell ref="B1:K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defaultRowHeight="15" x14ac:dyDescent="0.25"/>
  <cols>
    <col min="1" max="1" width="32.28515625" customWidth="1"/>
    <col min="2" max="4" width="9" bestFit="1" customWidth="1"/>
    <col min="5" max="11" width="10.5703125" bestFit="1" customWidth="1"/>
    <col min="12" max="12" width="49.28515625" customWidth="1"/>
    <col min="15" max="15" width="38.85546875" customWidth="1"/>
  </cols>
  <sheetData>
    <row r="1" spans="1:15" s="60" customFormat="1" ht="14.45" x14ac:dyDescent="0.3">
      <c r="A1" s="103" t="s">
        <v>49</v>
      </c>
      <c r="B1" s="141" t="s">
        <v>176</v>
      </c>
      <c r="C1" s="142"/>
      <c r="D1" s="142"/>
      <c r="E1" s="142"/>
      <c r="F1" s="142"/>
      <c r="G1" s="142"/>
      <c r="H1" s="142"/>
      <c r="I1" s="142"/>
      <c r="J1" s="142"/>
      <c r="K1" s="142"/>
      <c r="L1" s="143"/>
      <c r="N1" s="144" t="s">
        <v>196</v>
      </c>
      <c r="O1" s="145"/>
    </row>
    <row r="2" spans="1:15" s="60" customFormat="1" ht="14.45" x14ac:dyDescent="0.3">
      <c r="A2" s="104" t="s">
        <v>152</v>
      </c>
      <c r="B2" s="125">
        <v>2021</v>
      </c>
      <c r="C2" s="125">
        <v>2022</v>
      </c>
      <c r="D2" s="125">
        <v>2023</v>
      </c>
      <c r="E2" s="125">
        <v>2024</v>
      </c>
      <c r="F2" s="125">
        <v>2025</v>
      </c>
      <c r="G2" s="125">
        <v>2026</v>
      </c>
      <c r="H2" s="125">
        <v>2027</v>
      </c>
      <c r="I2" s="125">
        <v>2028</v>
      </c>
      <c r="J2" s="125">
        <v>2029</v>
      </c>
      <c r="K2" s="124">
        <v>2030</v>
      </c>
      <c r="L2" s="92" t="s">
        <v>177</v>
      </c>
      <c r="N2" s="61">
        <v>0.43540000000000001</v>
      </c>
      <c r="O2" s="61" t="s">
        <v>273</v>
      </c>
    </row>
    <row r="3" spans="1:15" s="60" customFormat="1" ht="72.599999999999994" x14ac:dyDescent="0.35">
      <c r="A3" s="105" t="s">
        <v>169</v>
      </c>
      <c r="B3" s="63">
        <v>987021.40045887872</v>
      </c>
      <c r="C3" s="63">
        <v>985929.30649383564</v>
      </c>
      <c r="D3" s="63">
        <v>985452.52737361088</v>
      </c>
      <c r="E3" s="63">
        <v>985233.72</v>
      </c>
      <c r="F3" s="63">
        <v>983544.46399999992</v>
      </c>
      <c r="G3" s="63">
        <v>981855.2080000001</v>
      </c>
      <c r="H3" s="67">
        <f>AVERAGE(E3:G3)*(1+$N$9)</f>
        <v>987575.19783966476</v>
      </c>
      <c r="I3" s="67">
        <f t="shared" ref="I3:K4" si="0">H3*(1+$N$9)</f>
        <v>991622.45031766337</v>
      </c>
      <c r="J3" s="67">
        <f t="shared" si="0"/>
        <v>995686.28913020797</v>
      </c>
      <c r="K3" s="67">
        <f t="shared" si="0"/>
        <v>999766.78225094127</v>
      </c>
      <c r="L3" s="89" t="s">
        <v>272</v>
      </c>
      <c r="N3" s="64">
        <v>0.91839999999999999</v>
      </c>
      <c r="O3" s="9" t="s">
        <v>203</v>
      </c>
    </row>
    <row r="4" spans="1:15" s="60" customFormat="1" ht="57.6" x14ac:dyDescent="0.3">
      <c r="A4" s="105" t="s">
        <v>170</v>
      </c>
      <c r="B4" s="63">
        <f>SUMIFS('Form 1.1c'!J:J, 'Form 1.1c'!$B:$B, "City of Palo Alto")*1000</f>
        <v>985000</v>
      </c>
      <c r="C4" s="63">
        <f>SUMIFS('Form 1.1c'!K:K, 'Form 1.1c'!$B:$B, "City of Palo Alto")*1000</f>
        <v>992000</v>
      </c>
      <c r="D4" s="63">
        <f>SUMIFS('Form 1.1c'!L:L, 'Form 1.1c'!$B:$B, "City of Palo Alto")*1000</f>
        <v>999000</v>
      </c>
      <c r="E4" s="63">
        <f>SUMIFS('Form 1.1c'!M:M, 'Form 1.1c'!$B:$B, "City of Palo Alto")*1000</f>
        <v>1004000</v>
      </c>
      <c r="F4" s="63">
        <f>SUMIFS('Form 1.1c'!N:N, 'Form 1.1c'!$B:$B, "City of Palo Alto")*1000</f>
        <v>1008000</v>
      </c>
      <c r="G4" s="63">
        <f>SUMIFS('Form 1.1c'!O:O, 'Form 1.1c'!$B:$B, "City of Palo Alto")*1000</f>
        <v>1012000</v>
      </c>
      <c r="H4" s="67">
        <f>AVERAGE(E4:G4)*(1+$N$9)</f>
        <v>1012130.956819032</v>
      </c>
      <c r="I4" s="63">
        <f t="shared" si="0"/>
        <v>1016278.8430073503</v>
      </c>
      <c r="J4" s="63">
        <f t="shared" si="0"/>
        <v>1020443.727944413</v>
      </c>
      <c r="K4" s="63">
        <f t="shared" si="0"/>
        <v>1024625.6812940066</v>
      </c>
      <c r="L4" s="89" t="s">
        <v>222</v>
      </c>
      <c r="N4" s="70">
        <f>0.15</f>
        <v>0.15</v>
      </c>
      <c r="O4" s="61" t="s">
        <v>166</v>
      </c>
    </row>
    <row r="5" spans="1:15" s="60" customFormat="1" ht="28.9" x14ac:dyDescent="0.3">
      <c r="A5" s="105" t="s">
        <v>194</v>
      </c>
      <c r="B5" s="63">
        <f>IF(AND(0&lt;($C$3-$C$4)/$C$3,($C$3-$C$4)/$C$3&lt;$N$4),B4,B3*(1-$N$5))</f>
        <v>917929.90242675715</v>
      </c>
      <c r="C5" s="63">
        <f>IF(AND(0&lt;($C$3-$C$4)/$C$3,($C$3-$C$4)/$C$3&lt;$N$4),C4,C3*(1-$N$5))</f>
        <v>916914.25503926713</v>
      </c>
      <c r="D5" s="63">
        <f t="shared" ref="D5:K5" si="1">IF(AND(0&lt;(D3-D4)/D3,(D3-D4)/D3&lt;$N$4),D4,D3*(1-$N$5))</f>
        <v>916470.85045745806</v>
      </c>
      <c r="E5" s="63">
        <f t="shared" si="1"/>
        <v>916267.35959999997</v>
      </c>
      <c r="F5" s="63">
        <f t="shared" si="1"/>
        <v>914696.35151999991</v>
      </c>
      <c r="G5" s="63">
        <f t="shared" si="1"/>
        <v>913125.34344000008</v>
      </c>
      <c r="H5" s="63">
        <f t="shared" si="1"/>
        <v>918444.93399088818</v>
      </c>
      <c r="I5" s="63">
        <f t="shared" si="1"/>
        <v>922208.87879542692</v>
      </c>
      <c r="J5" s="63">
        <f t="shared" si="1"/>
        <v>925988.2488910933</v>
      </c>
      <c r="K5" s="63">
        <f t="shared" si="1"/>
        <v>929783.10749337531</v>
      </c>
      <c r="L5" s="89" t="s">
        <v>271</v>
      </c>
      <c r="N5" s="70">
        <f>0.07</f>
        <v>7.0000000000000007E-2</v>
      </c>
      <c r="O5" s="61" t="s">
        <v>270</v>
      </c>
    </row>
    <row r="6" spans="1:15" s="60" customFormat="1" ht="14.45" x14ac:dyDescent="0.3">
      <c r="A6" s="105" t="s">
        <v>171</v>
      </c>
      <c r="B6" s="63">
        <v>0</v>
      </c>
      <c r="C6" s="63">
        <v>0</v>
      </c>
      <c r="D6" s="63">
        <v>0</v>
      </c>
      <c r="E6" s="63">
        <v>0</v>
      </c>
      <c r="F6" s="63">
        <v>0</v>
      </c>
      <c r="G6" s="63">
        <v>0</v>
      </c>
      <c r="H6" s="63">
        <v>0</v>
      </c>
      <c r="I6" s="63">
        <v>0</v>
      </c>
      <c r="J6" s="63">
        <v>0</v>
      </c>
      <c r="K6" s="63">
        <v>0</v>
      </c>
      <c r="L6" s="120" t="s">
        <v>269</v>
      </c>
      <c r="N6" s="65">
        <v>0.05</v>
      </c>
      <c r="O6" s="61" t="s">
        <v>268</v>
      </c>
    </row>
    <row r="7" spans="1:15" s="60" customFormat="1" ht="14.45" x14ac:dyDescent="0.3">
      <c r="A7" s="105" t="s">
        <v>172</v>
      </c>
      <c r="B7" s="63">
        <v>0</v>
      </c>
      <c r="C7" s="63">
        <v>0</v>
      </c>
      <c r="D7" s="63">
        <v>0</v>
      </c>
      <c r="E7" s="63">
        <v>0</v>
      </c>
      <c r="F7" s="63">
        <v>0</v>
      </c>
      <c r="G7" s="63">
        <v>0</v>
      </c>
      <c r="H7" s="63">
        <v>0</v>
      </c>
      <c r="I7" s="63">
        <v>0</v>
      </c>
      <c r="J7" s="63">
        <v>0</v>
      </c>
      <c r="K7" s="63">
        <v>0</v>
      </c>
      <c r="L7" s="120" t="s">
        <v>267</v>
      </c>
      <c r="N7" s="86">
        <v>0.85099999999999998</v>
      </c>
      <c r="O7" s="61" t="s">
        <v>168</v>
      </c>
    </row>
    <row r="8" spans="1:15" s="60" customFormat="1" ht="43.15" x14ac:dyDescent="0.3">
      <c r="A8" s="105" t="s">
        <v>173</v>
      </c>
      <c r="B8" s="63">
        <v>326317</v>
      </c>
      <c r="C8" s="63">
        <v>327345</v>
      </c>
      <c r="D8" s="63">
        <v>327346</v>
      </c>
      <c r="E8" s="63">
        <v>327461</v>
      </c>
      <c r="F8" s="63">
        <v>327723</v>
      </c>
      <c r="G8" s="63">
        <v>327570</v>
      </c>
      <c r="H8" s="67">
        <f>AVERAGE(E8:G8)</f>
        <v>327584.66666666669</v>
      </c>
      <c r="I8" s="67">
        <f t="shared" ref="I8:K8" si="2">H8</f>
        <v>327584.66666666669</v>
      </c>
      <c r="J8" s="67">
        <f t="shared" si="2"/>
        <v>327584.66666666669</v>
      </c>
      <c r="K8" s="67">
        <f t="shared" si="2"/>
        <v>327584.66666666669</v>
      </c>
      <c r="L8" s="89" t="s">
        <v>266</v>
      </c>
    </row>
    <row r="9" spans="1:15" s="60" customFormat="1" ht="28.9" x14ac:dyDescent="0.3">
      <c r="A9" s="105" t="s">
        <v>153</v>
      </c>
      <c r="B9" s="73">
        <v>0.34</v>
      </c>
      <c r="C9" s="59">
        <v>0.36</v>
      </c>
      <c r="D9" s="59">
        <v>0.37</v>
      </c>
      <c r="E9" s="59">
        <v>0.39</v>
      </c>
      <c r="F9" s="59">
        <v>0.41</v>
      </c>
      <c r="G9" s="59">
        <v>0.42</v>
      </c>
      <c r="H9" s="59">
        <v>0.44</v>
      </c>
      <c r="I9" s="59">
        <v>0.46</v>
      </c>
      <c r="J9" s="59">
        <v>0.48</v>
      </c>
      <c r="K9" s="59">
        <v>0.5</v>
      </c>
      <c r="L9" s="89" t="s">
        <v>248</v>
      </c>
      <c r="N9" s="66">
        <v>4.0981714474523923E-3</v>
      </c>
      <c r="O9" s="89" t="s">
        <v>206</v>
      </c>
    </row>
    <row r="10" spans="1:15" s="60" customFormat="1" ht="14.45" x14ac:dyDescent="0.3">
      <c r="A10" s="105" t="s">
        <v>174</v>
      </c>
      <c r="B10" s="63">
        <f t="shared" ref="B10:K10" si="3">B5*B9</f>
        <v>312096.16682509746</v>
      </c>
      <c r="C10" s="63">
        <f t="shared" si="3"/>
        <v>330089.13181413617</v>
      </c>
      <c r="D10" s="63">
        <f t="shared" si="3"/>
        <v>339094.2146692595</v>
      </c>
      <c r="E10" s="63">
        <f t="shared" si="3"/>
        <v>357344.27024400001</v>
      </c>
      <c r="F10" s="63">
        <f t="shared" si="3"/>
        <v>375025.50412319996</v>
      </c>
      <c r="G10" s="63">
        <f t="shared" si="3"/>
        <v>383512.64424480003</v>
      </c>
      <c r="H10" s="63">
        <f t="shared" si="3"/>
        <v>404115.77095599083</v>
      </c>
      <c r="I10" s="63">
        <f t="shared" si="3"/>
        <v>424216.08424589637</v>
      </c>
      <c r="J10" s="63">
        <f t="shared" si="3"/>
        <v>444474.35946772475</v>
      </c>
      <c r="K10" s="63">
        <f t="shared" si="3"/>
        <v>464891.55374668766</v>
      </c>
      <c r="L10" s="89" t="s">
        <v>207</v>
      </c>
    </row>
    <row r="11" spans="1:15" s="60" customFormat="1" ht="28.9" x14ac:dyDescent="0.3">
      <c r="A11" s="105" t="s">
        <v>175</v>
      </c>
      <c r="B11" s="63">
        <f t="shared" ref="B11:K11" si="4">MAX(B3-SUM(B6:B8,B10), B3*$N$6)</f>
        <v>348608.2336337812</v>
      </c>
      <c r="C11" s="63">
        <f t="shared" si="4"/>
        <v>328495.17467969947</v>
      </c>
      <c r="D11" s="63">
        <f t="shared" si="4"/>
        <v>319012.31270435138</v>
      </c>
      <c r="E11" s="63">
        <f t="shared" si="4"/>
        <v>300428.44975599996</v>
      </c>
      <c r="F11" s="63">
        <f t="shared" si="4"/>
        <v>280795.95987679996</v>
      </c>
      <c r="G11" s="63">
        <f t="shared" si="4"/>
        <v>270772.56375520001</v>
      </c>
      <c r="H11" s="63">
        <f t="shared" si="4"/>
        <v>255874.76021700725</v>
      </c>
      <c r="I11" s="63">
        <f t="shared" si="4"/>
        <v>239821.69940510031</v>
      </c>
      <c r="J11" s="63">
        <f t="shared" si="4"/>
        <v>223627.26299581653</v>
      </c>
      <c r="K11" s="63">
        <f t="shared" si="4"/>
        <v>207290.56183758692</v>
      </c>
      <c r="L11" s="89" t="s">
        <v>208</v>
      </c>
    </row>
    <row r="12" spans="1:15" s="60" customFormat="1" ht="43.9" x14ac:dyDescent="0.35">
      <c r="A12" s="105" t="s">
        <v>197</v>
      </c>
      <c r="B12" s="63">
        <f t="shared" ref="B12:K12" si="5">B6*$N$3+B11*$N$2</f>
        <v>151784.02492414834</v>
      </c>
      <c r="C12" s="63">
        <f t="shared" si="5"/>
        <v>143026.79905554114</v>
      </c>
      <c r="D12" s="63">
        <f t="shared" si="5"/>
        <v>138897.96095147458</v>
      </c>
      <c r="E12" s="63">
        <f t="shared" si="5"/>
        <v>130806.54702376238</v>
      </c>
      <c r="F12" s="63">
        <f t="shared" si="5"/>
        <v>122258.5609303587</v>
      </c>
      <c r="G12" s="63">
        <f t="shared" si="5"/>
        <v>117894.37425901409</v>
      </c>
      <c r="H12" s="63">
        <f t="shared" si="5"/>
        <v>111407.87059848497</v>
      </c>
      <c r="I12" s="63">
        <f t="shared" si="5"/>
        <v>104418.36792098067</v>
      </c>
      <c r="J12" s="63">
        <f t="shared" si="5"/>
        <v>97367.310308378524</v>
      </c>
      <c r="K12" s="63">
        <f t="shared" si="5"/>
        <v>90254.310624085352</v>
      </c>
      <c r="L12" s="108" t="s">
        <v>209</v>
      </c>
    </row>
    <row r="13" spans="1:15" s="60" customFormat="1" ht="86.45" x14ac:dyDescent="0.3">
      <c r="A13" s="105"/>
      <c r="B13" s="146" t="s">
        <v>210</v>
      </c>
      <c r="C13" s="147"/>
      <c r="D13" s="147"/>
      <c r="E13" s="147"/>
      <c r="F13" s="147"/>
      <c r="G13" s="147"/>
      <c r="H13" s="147"/>
      <c r="I13" s="147"/>
      <c r="J13" s="148"/>
      <c r="K13" s="87">
        <v>0</v>
      </c>
      <c r="L13" s="108" t="s">
        <v>216</v>
      </c>
    </row>
    <row r="14" spans="1:15" s="60" customFormat="1"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M14"/>
      <c r="N14"/>
      <c r="O14" s="4"/>
    </row>
    <row r="15" spans="1:15"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5" s="60" customFormat="1" ht="30" x14ac:dyDescent="0.35">
      <c r="A16" s="105" t="s">
        <v>199</v>
      </c>
      <c r="B16" s="82">
        <f t="shared" ref="B16:K16" si="7">B12/B3</f>
        <v>0.15377987230427023</v>
      </c>
      <c r="C16" s="82">
        <f t="shared" si="7"/>
        <v>0.14506800651273205</v>
      </c>
      <c r="D16" s="82">
        <f t="shared" si="7"/>
        <v>0.14094840400040368</v>
      </c>
      <c r="E16" s="82">
        <f t="shared" si="7"/>
        <v>0.1327670220460607</v>
      </c>
      <c r="F16" s="82">
        <f t="shared" si="7"/>
        <v>0.12430405071179243</v>
      </c>
      <c r="G16" s="82">
        <f t="shared" si="7"/>
        <v>0.12007307523393417</v>
      </c>
      <c r="H16" s="82">
        <f t="shared" si="7"/>
        <v>0.1128095063972762</v>
      </c>
      <c r="I16" s="82">
        <f t="shared" si="7"/>
        <v>0.10530052832863007</v>
      </c>
      <c r="J16" s="82">
        <f t="shared" si="7"/>
        <v>9.7789144403539738E-2</v>
      </c>
      <c r="K16" s="82">
        <f t="shared" si="7"/>
        <v>9.0275364441375822E-2</v>
      </c>
      <c r="L16" s="89" t="s">
        <v>212</v>
      </c>
    </row>
    <row r="17" spans="1:15" s="60" customFormat="1" ht="30.6" thickBot="1" x14ac:dyDescent="0.4">
      <c r="A17" s="105" t="s">
        <v>200</v>
      </c>
      <c r="B17" s="81">
        <f t="shared" ref="B17:K17" si="8">B15*B16</f>
        <v>0</v>
      </c>
      <c r="C17" s="81">
        <f t="shared" si="8"/>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5" ht="43.9" thickBot="1" x14ac:dyDescent="0.35">
      <c r="A18" s="128" t="s">
        <v>201</v>
      </c>
      <c r="B18" s="84">
        <f t="shared" ref="B18:K18" si="9">B12*(B14/$N$7)-B17</f>
        <v>145719.79831143265</v>
      </c>
      <c r="C18" s="84">
        <f t="shared" si="9"/>
        <v>131598.10065862365</v>
      </c>
      <c r="D18" s="84">
        <f t="shared" si="9"/>
        <v>122249.7917187479</v>
      </c>
      <c r="E18" s="84">
        <f t="shared" si="9"/>
        <v>109902.09297531152</v>
      </c>
      <c r="F18" s="84">
        <f t="shared" si="9"/>
        <v>97835.581661074364</v>
      </c>
      <c r="G18" s="84">
        <f t="shared" si="9"/>
        <v>89632.973144044794</v>
      </c>
      <c r="H18" s="84">
        <f t="shared" si="9"/>
        <v>80381.236836039679</v>
      </c>
      <c r="I18" s="84">
        <f t="shared" si="9"/>
        <v>71166.455222289995</v>
      </c>
      <c r="J18" s="84">
        <f t="shared" si="9"/>
        <v>62470.683229582472</v>
      </c>
      <c r="K18" s="84">
        <f t="shared" si="9"/>
        <v>54195.009082147611</v>
      </c>
      <c r="L18" s="93" t="s">
        <v>214</v>
      </c>
    </row>
    <row r="19" spans="1:15" ht="15.75" x14ac:dyDescent="0.25">
      <c r="A19" s="85"/>
      <c r="B19" s="85"/>
      <c r="C19" s="85"/>
      <c r="D19" s="85"/>
      <c r="E19" s="85"/>
      <c r="F19" s="85"/>
      <c r="G19" s="85"/>
      <c r="H19" s="85"/>
      <c r="I19" s="85"/>
      <c r="J19" s="85"/>
      <c r="K19" s="85"/>
      <c r="O19" s="4"/>
    </row>
  </sheetData>
  <mergeCells count="3">
    <mergeCell ref="B1:L1"/>
    <mergeCell ref="N1:O1"/>
    <mergeCell ref="B13:J1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Normal="100" workbookViewId="0"/>
  </sheetViews>
  <sheetFormatPr defaultRowHeight="15" x14ac:dyDescent="0.25"/>
  <cols>
    <col min="1" max="1" width="37.7109375" customWidth="1"/>
    <col min="2" max="11" width="8" bestFit="1" customWidth="1"/>
    <col min="12" max="12" width="56.28515625" style="3" customWidth="1"/>
    <col min="14" max="14" width="8.7109375" customWidth="1"/>
    <col min="15" max="15" width="41.85546875" customWidth="1"/>
  </cols>
  <sheetData>
    <row r="1" spans="1:18" s="60" customFormat="1" ht="15.6" x14ac:dyDescent="0.3">
      <c r="A1" s="103" t="s">
        <v>69</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v>78233.408297447502</v>
      </c>
      <c r="C3" s="67">
        <f t="shared" ref="C3:G3" si="0">B3*(1+$N$9)</f>
        <v>78554.654273907698</v>
      </c>
      <c r="D3" s="67">
        <f t="shared" si="0"/>
        <v>78877.219366837933</v>
      </c>
      <c r="E3" s="67">
        <f t="shared" si="0"/>
        <v>79201.108992860929</v>
      </c>
      <c r="F3" s="67">
        <f t="shared" si="0"/>
        <v>79526.328590841455</v>
      </c>
      <c r="G3" s="67">
        <f t="shared" si="0"/>
        <v>79852.883621977599</v>
      </c>
      <c r="H3" s="67">
        <f t="shared" ref="H3:K4" si="1">G3*(1+$N$9)</f>
        <v>80180.779569892489</v>
      </c>
      <c r="I3" s="67">
        <f t="shared" si="1"/>
        <v>80510.021940726409</v>
      </c>
      <c r="J3" s="67">
        <f t="shared" si="1"/>
        <v>80840.616263229225</v>
      </c>
      <c r="K3" s="67">
        <f t="shared" si="1"/>
        <v>81172.568088853222</v>
      </c>
      <c r="L3" s="89" t="s">
        <v>219</v>
      </c>
      <c r="N3" s="64">
        <v>0.91839999999999999</v>
      </c>
      <c r="O3" s="9" t="s">
        <v>203</v>
      </c>
    </row>
    <row r="4" spans="1:18" s="60" customFormat="1" ht="57.6" x14ac:dyDescent="0.3">
      <c r="A4" s="105" t="s">
        <v>170</v>
      </c>
      <c r="B4" s="63">
        <f>SUMIFS('Form 1.1c'!J:J, 'Form 1.1c'!$B:$B, "City of Rancho Cucamonga")*1000</f>
        <v>78000</v>
      </c>
      <c r="C4" s="63">
        <f>SUMIFS('Form 1.1c'!K:K, 'Form 1.1c'!$B:$B, "City of Rancho Cucamonga")*1000</f>
        <v>79000</v>
      </c>
      <c r="D4" s="63">
        <f>SUMIFS('Form 1.1c'!L:L, 'Form 1.1c'!$B:$B, "City of Rancho Cucamonga")*1000</f>
        <v>79000</v>
      </c>
      <c r="E4" s="63">
        <f>SUMIFS('Form 1.1c'!M:M, 'Form 1.1c'!$B:$B, "City of Rancho Cucamonga")*1000</f>
        <v>79000</v>
      </c>
      <c r="F4" s="63">
        <f>SUMIFS('Form 1.1c'!N:N, 'Form 1.1c'!$B:$B, "City of Rancho Cucamonga")*1000</f>
        <v>80000</v>
      </c>
      <c r="G4" s="63">
        <f>SUMIFS('Form 1.1c'!O:O, 'Form 1.1c'!$B:$B, "City of Rancho Cucamonga")*1000</f>
        <v>80000</v>
      </c>
      <c r="H4" s="67">
        <f>AVERAGE(E4:G4)*(1+$N$9)</f>
        <v>79993.797961104952</v>
      </c>
      <c r="I4" s="63">
        <f t="shared" si="1"/>
        <v>80322.272538603487</v>
      </c>
      <c r="J4" s="63">
        <f t="shared" si="1"/>
        <v>80652.095915019105</v>
      </c>
      <c r="K4" s="63">
        <f t="shared" si="1"/>
        <v>80983.273628858107</v>
      </c>
      <c r="L4" s="89" t="s">
        <v>222</v>
      </c>
      <c r="N4" s="70">
        <f>0.15</f>
        <v>0.15</v>
      </c>
      <c r="O4" s="89" t="s">
        <v>166</v>
      </c>
    </row>
    <row r="5" spans="1:18" s="60" customFormat="1" ht="28.9" x14ac:dyDescent="0.3">
      <c r="A5" s="105" t="s">
        <v>194</v>
      </c>
      <c r="B5" s="63">
        <f t="shared" ref="B5:E5" si="2">IF(AND(0&lt;($F$3-$F$4)/$F$3,($F$3-$F$4)/$F$3&lt;$N$4),B4,B3*(1-$N$5))</f>
        <v>72757.069716626167</v>
      </c>
      <c r="C5" s="63">
        <f t="shared" si="2"/>
        <v>73055.828474734153</v>
      </c>
      <c r="D5" s="63">
        <f t="shared" si="2"/>
        <v>73355.81401115928</v>
      </c>
      <c r="E5" s="63">
        <f t="shared" si="2"/>
        <v>73657.031363360657</v>
      </c>
      <c r="F5" s="63">
        <f>IF(AND(0&lt;($F$3-$F$4)/$F$3,($F$3-$F$4)/$F$3&lt;$N$4),F4,F3*(1-$N$5))</f>
        <v>73959.485589482545</v>
      </c>
      <c r="G5" s="63">
        <f>G3*(1-$N$5)</f>
        <v>74263.181768439157</v>
      </c>
      <c r="H5" s="63">
        <f>H3*(1-$N$5)</f>
        <v>74568.125000000015</v>
      </c>
      <c r="I5" s="63">
        <f t="shared" ref="I5:K5" si="3">I3*(1-$N$5)</f>
        <v>74874.320404875558</v>
      </c>
      <c r="J5" s="63">
        <f t="shared" si="3"/>
        <v>75181.773124803178</v>
      </c>
      <c r="K5" s="63">
        <f t="shared" si="3"/>
        <v>75490.488322633493</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14.45" x14ac:dyDescent="0.3">
      <c r="A8" s="105" t="s">
        <v>173</v>
      </c>
      <c r="B8" s="63">
        <v>0</v>
      </c>
      <c r="C8" s="63">
        <v>0</v>
      </c>
      <c r="D8" s="63">
        <v>0</v>
      </c>
      <c r="E8" s="63">
        <v>0</v>
      </c>
      <c r="F8" s="63">
        <v>0</v>
      </c>
      <c r="G8" s="63">
        <v>0</v>
      </c>
      <c r="H8" s="63">
        <v>0</v>
      </c>
      <c r="I8" s="63">
        <v>0</v>
      </c>
      <c r="J8" s="63">
        <v>0</v>
      </c>
      <c r="K8" s="63">
        <v>0</v>
      </c>
      <c r="L8" s="120" t="s">
        <v>246</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4.1062505578026709E-3</v>
      </c>
      <c r="O9" s="89" t="s">
        <v>206</v>
      </c>
    </row>
    <row r="10" spans="1:18" s="60" customFormat="1" ht="15.6" x14ac:dyDescent="0.3">
      <c r="A10" s="105" t="s">
        <v>174</v>
      </c>
      <c r="B10" s="63">
        <f>B5*B9</f>
        <v>24737.403703652897</v>
      </c>
      <c r="C10" s="63">
        <f t="shared" ref="C10:K10" si="4">C5*C9</f>
        <v>26300.098250904295</v>
      </c>
      <c r="D10" s="63">
        <f t="shared" si="4"/>
        <v>27141.651184128932</v>
      </c>
      <c r="E10" s="63">
        <f t="shared" si="4"/>
        <v>28726.242231710658</v>
      </c>
      <c r="F10" s="63">
        <f t="shared" si="4"/>
        <v>30323.389091687841</v>
      </c>
      <c r="G10" s="63">
        <f t="shared" si="4"/>
        <v>31190.536342744446</v>
      </c>
      <c r="H10" s="63">
        <f t="shared" si="4"/>
        <v>32809.975000000006</v>
      </c>
      <c r="I10" s="63">
        <f t="shared" si="4"/>
        <v>34442.18738624276</v>
      </c>
      <c r="J10" s="63">
        <f t="shared" si="4"/>
        <v>36087.251099905523</v>
      </c>
      <c r="K10" s="63">
        <f t="shared" si="4"/>
        <v>37745.244161316747</v>
      </c>
      <c r="L10" s="89" t="s">
        <v>207</v>
      </c>
      <c r="N10" s="68"/>
      <c r="O10" s="62"/>
    </row>
    <row r="11" spans="1:18" s="60" customFormat="1" ht="28.9" x14ac:dyDescent="0.3">
      <c r="A11" s="105" t="s">
        <v>175</v>
      </c>
      <c r="B11" s="63">
        <f t="shared" ref="B11:K11" si="5">MAX(B3-SUM(B6:B8,B10), B3*$N$6)</f>
        <v>53496.004593794605</v>
      </c>
      <c r="C11" s="63">
        <f t="shared" si="5"/>
        <v>52254.556023003403</v>
      </c>
      <c r="D11" s="63">
        <f t="shared" si="5"/>
        <v>51735.568182709001</v>
      </c>
      <c r="E11" s="63">
        <f t="shared" si="5"/>
        <v>50474.866761150275</v>
      </c>
      <c r="F11" s="63">
        <f t="shared" si="5"/>
        <v>49202.93949915361</v>
      </c>
      <c r="G11" s="63">
        <f t="shared" si="5"/>
        <v>48662.347279233152</v>
      </c>
      <c r="H11" s="63">
        <f t="shared" si="5"/>
        <v>47370.804569892483</v>
      </c>
      <c r="I11" s="63">
        <f t="shared" si="5"/>
        <v>46067.834554483648</v>
      </c>
      <c r="J11" s="63">
        <f t="shared" si="5"/>
        <v>44753.365163323702</v>
      </c>
      <c r="K11" s="63">
        <f t="shared" si="5"/>
        <v>43427.323927536476</v>
      </c>
      <c r="L11" s="89" t="s">
        <v>208</v>
      </c>
      <c r="N11" s="68"/>
      <c r="O11" s="62"/>
    </row>
    <row r="12" spans="1:18" s="60" customFormat="1" ht="43.9" x14ac:dyDescent="0.35">
      <c r="A12" s="105" t="s">
        <v>197</v>
      </c>
      <c r="B12" s="63">
        <f t="shared" ref="B12:K12" si="6">B6*$N$3+B11*$N$2</f>
        <v>23292.160400138171</v>
      </c>
      <c r="C12" s="63">
        <f t="shared" si="6"/>
        <v>22751.633692415682</v>
      </c>
      <c r="D12" s="63">
        <f t="shared" si="6"/>
        <v>22525.666386751498</v>
      </c>
      <c r="E12" s="63">
        <f t="shared" si="6"/>
        <v>21976.756987804831</v>
      </c>
      <c r="F12" s="63">
        <f t="shared" si="6"/>
        <v>21422.959857931481</v>
      </c>
      <c r="G12" s="63">
        <f t="shared" si="6"/>
        <v>21187.586005378114</v>
      </c>
      <c r="H12" s="63">
        <f t="shared" si="6"/>
        <v>20625.248309731189</v>
      </c>
      <c r="I12" s="63">
        <f t="shared" si="6"/>
        <v>20057.93516502218</v>
      </c>
      <c r="J12" s="63">
        <f t="shared" si="6"/>
        <v>19485.615192111141</v>
      </c>
      <c r="K12" s="63">
        <f t="shared" si="6"/>
        <v>18908.256838049383</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7">$K$13*B14</f>
        <v>0</v>
      </c>
      <c r="C15" s="88">
        <f t="shared" si="7"/>
        <v>0</v>
      </c>
      <c r="D15" s="88">
        <f t="shared" si="7"/>
        <v>0</v>
      </c>
      <c r="E15" s="88">
        <f t="shared" si="7"/>
        <v>0</v>
      </c>
      <c r="F15" s="88">
        <f t="shared" si="7"/>
        <v>0</v>
      </c>
      <c r="G15" s="88">
        <f t="shared" si="7"/>
        <v>0</v>
      </c>
      <c r="H15" s="88">
        <f t="shared" si="7"/>
        <v>0</v>
      </c>
      <c r="I15" s="88">
        <f t="shared" si="7"/>
        <v>0</v>
      </c>
      <c r="J15" s="88">
        <f t="shared" si="7"/>
        <v>0</v>
      </c>
      <c r="K15" s="88">
        <f t="shared" si="7"/>
        <v>0</v>
      </c>
      <c r="L15" s="108" t="s">
        <v>211</v>
      </c>
    </row>
    <row r="16" spans="1:18" s="60" customFormat="1" ht="30" x14ac:dyDescent="0.35">
      <c r="A16" s="105" t="s">
        <v>199</v>
      </c>
      <c r="B16" s="82">
        <f t="shared" ref="B16:K16" si="8">B12/B3</f>
        <v>0.29772651999999999</v>
      </c>
      <c r="C16" s="82">
        <f t="shared" si="8"/>
        <v>0.28962808000000001</v>
      </c>
      <c r="D16" s="82">
        <f t="shared" si="8"/>
        <v>0.28557885999999999</v>
      </c>
      <c r="E16" s="82">
        <f t="shared" si="8"/>
        <v>0.27748042000000006</v>
      </c>
      <c r="F16" s="82">
        <f t="shared" si="8"/>
        <v>0.26938198000000002</v>
      </c>
      <c r="G16" s="82">
        <f t="shared" si="8"/>
        <v>0.26533276</v>
      </c>
      <c r="H16" s="82">
        <f t="shared" si="8"/>
        <v>0.25723432000000002</v>
      </c>
      <c r="I16" s="82">
        <f t="shared" si="8"/>
        <v>0.24913587999999998</v>
      </c>
      <c r="J16" s="82">
        <f t="shared" si="8"/>
        <v>0.24103744000000005</v>
      </c>
      <c r="K16" s="82">
        <f t="shared" si="8"/>
        <v>0.23293900000000003</v>
      </c>
      <c r="L16" s="89" t="s">
        <v>212</v>
      </c>
    </row>
    <row r="17" spans="1:18" s="60" customFormat="1" ht="30.6" thickBot="1" x14ac:dyDescent="0.4">
      <c r="A17" s="105" t="s">
        <v>200</v>
      </c>
      <c r="B17" s="81">
        <f>B15*B16</f>
        <v>0</v>
      </c>
      <c r="C17" s="81">
        <f t="shared" ref="C17:K17" si="9">C15*C16</f>
        <v>0</v>
      </c>
      <c r="D17" s="81">
        <f t="shared" si="9"/>
        <v>0</v>
      </c>
      <c r="E17" s="81">
        <f t="shared" si="9"/>
        <v>0</v>
      </c>
      <c r="F17" s="81">
        <f t="shared" si="9"/>
        <v>0</v>
      </c>
      <c r="G17" s="81">
        <f t="shared" si="9"/>
        <v>0</v>
      </c>
      <c r="H17" s="81">
        <f t="shared" si="9"/>
        <v>0</v>
      </c>
      <c r="I17" s="81">
        <f t="shared" si="9"/>
        <v>0</v>
      </c>
      <c r="J17" s="81">
        <f t="shared" si="9"/>
        <v>0</v>
      </c>
      <c r="K17" s="81">
        <f t="shared" si="9"/>
        <v>0</v>
      </c>
      <c r="L17" s="89" t="s">
        <v>213</v>
      </c>
    </row>
    <row r="18" spans="1:18" ht="43.9" thickBot="1" x14ac:dyDescent="0.35">
      <c r="A18" s="128" t="s">
        <v>201</v>
      </c>
      <c r="B18" s="84">
        <f t="shared" ref="B18:K18" si="10">B12*(B14/$N$7)-B17</f>
        <v>22361.568797782475</v>
      </c>
      <c r="C18" s="84">
        <f t="shared" si="10"/>
        <v>20933.641811000562</v>
      </c>
      <c r="D18" s="84">
        <f t="shared" si="10"/>
        <v>19825.762777528638</v>
      </c>
      <c r="E18" s="84">
        <f t="shared" si="10"/>
        <v>18464.60780996528</v>
      </c>
      <c r="F18" s="84">
        <f t="shared" si="10"/>
        <v>17143.40265951979</v>
      </c>
      <c r="G18" s="84">
        <f t="shared" si="10"/>
        <v>16108.54071149194</v>
      </c>
      <c r="H18" s="84">
        <f t="shared" si="10"/>
        <v>14881.201483166804</v>
      </c>
      <c r="I18" s="84">
        <f t="shared" si="10"/>
        <v>13670.508103070346</v>
      </c>
      <c r="J18" s="84">
        <f t="shared" si="10"/>
        <v>12501.934071554271</v>
      </c>
      <c r="K18" s="84">
        <f t="shared" si="10"/>
        <v>11353.84165010956</v>
      </c>
      <c r="L18" s="93" t="s">
        <v>214</v>
      </c>
      <c r="N18" s="60"/>
      <c r="O18" s="60"/>
      <c r="P18" s="60"/>
      <c r="Q18" s="60"/>
      <c r="R18" s="60"/>
    </row>
    <row r="19" spans="1:18" ht="14.45" x14ac:dyDescent="0.3">
      <c r="A19" s="85"/>
      <c r="B19" s="85"/>
      <c r="C19" s="85"/>
      <c r="D19" s="85"/>
      <c r="E19" s="85"/>
      <c r="F19" s="85"/>
      <c r="G19" s="85"/>
      <c r="H19" s="85"/>
      <c r="I19" s="85"/>
      <c r="J19" s="85"/>
      <c r="K19" s="85"/>
      <c r="N19" s="60"/>
      <c r="O19" s="60"/>
      <c r="P19" s="60"/>
      <c r="Q19" s="60"/>
      <c r="R19" s="60"/>
    </row>
  </sheetData>
  <mergeCells count="3">
    <mergeCell ref="B1:L1"/>
    <mergeCell ref="N1:O1"/>
    <mergeCell ref="B13:J1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workbookViewId="0">
      <selection activeCell="D15" sqref="D15"/>
    </sheetView>
  </sheetViews>
  <sheetFormatPr defaultRowHeight="15" x14ac:dyDescent="0.25"/>
  <cols>
    <col min="1" max="1" width="29.85546875" customWidth="1"/>
    <col min="2" max="11" width="10.5703125" bestFit="1" customWidth="1"/>
    <col min="12" max="12" width="49.28515625" style="3" customWidth="1"/>
    <col min="14" max="14" width="8.7109375" customWidth="1"/>
    <col min="15" max="15" width="43.28515625" customWidth="1"/>
  </cols>
  <sheetData>
    <row r="1" spans="1:18" s="60" customFormat="1" ht="15.6" x14ac:dyDescent="0.3">
      <c r="A1" s="103" t="s">
        <v>23</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58.15" x14ac:dyDescent="0.35">
      <c r="A3" s="105" t="s">
        <v>169</v>
      </c>
      <c r="B3" s="63">
        <f>SUMIFS('Form 1.5a'!J:J, 'Form 1.5a'!$B:$B, "Riverside")*1000</f>
        <v>2464000</v>
      </c>
      <c r="C3" s="63">
        <f>SUMIFS('Form 1.5a'!K:K, 'Form 1.5a'!$B:$B, "Riverside")*1000</f>
        <v>2478000</v>
      </c>
      <c r="D3" s="63">
        <f>SUMIFS('Form 1.5a'!L:L, 'Form 1.5a'!$B:$B, "Riverside")*1000</f>
        <v>2486000</v>
      </c>
      <c r="E3" s="63">
        <f>SUMIFS('Form 1.5a'!M:M, 'Form 1.5a'!$B:$B, "Riverside")*1000</f>
        <v>2491000</v>
      </c>
      <c r="F3" s="63">
        <f>SUMIFS('Form 1.5a'!N:N, 'Form 1.5a'!$B:$B, "Riverside")*1000</f>
        <v>2500000</v>
      </c>
      <c r="G3" s="63">
        <f>SUMIFS('Form 1.5a'!O:O, 'Form 1.5a'!$B:$B, "Riverside")*1000</f>
        <v>2502000</v>
      </c>
      <c r="H3" s="67">
        <f>AVERAGE(E3:G3)*(1+$N$9)</f>
        <v>2507917.6596220401</v>
      </c>
      <c r="I3" s="67">
        <f t="shared" ref="I3:K4" si="0">H3*(1+$N$9)</f>
        <v>2518210.7249876247</v>
      </c>
      <c r="J3" s="67">
        <f t="shared" si="0"/>
        <v>2528546.0354381762</v>
      </c>
      <c r="K3" s="67">
        <f t="shared" si="0"/>
        <v>2538923.7643571463</v>
      </c>
      <c r="L3" s="89" t="s">
        <v>218</v>
      </c>
      <c r="N3" s="64">
        <v>0.91839999999999999</v>
      </c>
      <c r="O3" s="9" t="s">
        <v>203</v>
      </c>
    </row>
    <row r="4" spans="1:18" s="60" customFormat="1" ht="57.6" x14ac:dyDescent="0.3">
      <c r="A4" s="105" t="s">
        <v>170</v>
      </c>
      <c r="B4" s="63">
        <f>SUMIFS('Form 1.1c'!J:J, 'Form 1.1c'!$B:$B, "City of Riverside")*1000</f>
        <v>2311000</v>
      </c>
      <c r="C4" s="63">
        <f>SUMIFS('Form 1.1c'!K:K, 'Form 1.1c'!$B:$B, "City of Riverside")*1000</f>
        <v>2325000</v>
      </c>
      <c r="D4" s="63">
        <f>SUMIFS('Form 1.1c'!L:L, 'Form 1.1c'!$B:$B, "City of Riverside")*1000</f>
        <v>2332000</v>
      </c>
      <c r="E4" s="63">
        <f>SUMIFS('Form 1.1c'!M:M, 'Form 1.1c'!$B:$B, "City of Riverside")*1000</f>
        <v>2337000</v>
      </c>
      <c r="F4" s="63">
        <f>SUMIFS('Form 1.1c'!N:N, 'Form 1.1c'!$B:$B, "City of Riverside")*1000</f>
        <v>2345000</v>
      </c>
      <c r="G4" s="63">
        <f>SUMIFS('Form 1.1c'!O:O, 'Form 1.1c'!$B:$B, "City of Riverside")*1000</f>
        <v>2347000</v>
      </c>
      <c r="H4" s="67">
        <f>AVERAGE(E4:G4)*(1+$N$9)</f>
        <v>2352616.2057231176</v>
      </c>
      <c r="I4" s="63">
        <f t="shared" si="0"/>
        <v>2362271.878545044</v>
      </c>
      <c r="J4" s="63">
        <f t="shared" si="0"/>
        <v>2371967.1804477433</v>
      </c>
      <c r="K4" s="63">
        <f t="shared" si="0"/>
        <v>2381702.2740779901</v>
      </c>
      <c r="L4" s="89" t="s">
        <v>222</v>
      </c>
      <c r="N4" s="70">
        <f>0.15</f>
        <v>0.15</v>
      </c>
      <c r="O4" s="89" t="s">
        <v>166</v>
      </c>
    </row>
    <row r="5" spans="1:18" s="60" customFormat="1" ht="28.9" x14ac:dyDescent="0.3">
      <c r="A5" s="105" t="s">
        <v>194</v>
      </c>
      <c r="B5" s="63">
        <f t="shared" ref="B5:K5" si="1">IF(AND(0&lt;(B3-B4)/B3,(B3-B4)/B3&lt;$N$4),B4,B3*(1-$N$5))</f>
        <v>2311000</v>
      </c>
      <c r="C5" s="63">
        <f t="shared" si="1"/>
        <v>2325000</v>
      </c>
      <c r="D5" s="63">
        <f t="shared" si="1"/>
        <v>2332000</v>
      </c>
      <c r="E5" s="63">
        <f t="shared" si="1"/>
        <v>2337000</v>
      </c>
      <c r="F5" s="63">
        <f t="shared" si="1"/>
        <v>2345000</v>
      </c>
      <c r="G5" s="63">
        <f t="shared" si="1"/>
        <v>2347000</v>
      </c>
      <c r="H5" s="63">
        <f t="shared" si="1"/>
        <v>2352616.2057231176</v>
      </c>
      <c r="I5" s="63">
        <f t="shared" si="1"/>
        <v>2362271.878545044</v>
      </c>
      <c r="J5" s="63">
        <f t="shared" si="1"/>
        <v>2371967.1804477433</v>
      </c>
      <c r="K5" s="63">
        <f t="shared" si="1"/>
        <v>2381702.2740779901</v>
      </c>
      <c r="L5" s="89" t="s">
        <v>223</v>
      </c>
      <c r="N5" s="70">
        <f>0.07</f>
        <v>7.0000000000000007E-2</v>
      </c>
      <c r="O5" s="89" t="s">
        <v>220</v>
      </c>
    </row>
    <row r="6" spans="1:18" s="60" customFormat="1" ht="43.15" x14ac:dyDescent="0.3">
      <c r="A6" s="105" t="s">
        <v>171</v>
      </c>
      <c r="B6" s="63">
        <v>713758.6</v>
      </c>
      <c r="C6" s="63">
        <v>717550.6</v>
      </c>
      <c r="D6" s="63">
        <v>718588.8</v>
      </c>
      <c r="E6" s="63">
        <v>709837.2</v>
      </c>
      <c r="F6" s="63">
        <f>AVERAGE(C6:E6)</f>
        <v>715325.53333333321</v>
      </c>
      <c r="G6" s="63">
        <f>F6</f>
        <v>715325.53333333321</v>
      </c>
      <c r="H6" s="63">
        <f>G6/2</f>
        <v>357662.7666666666</v>
      </c>
      <c r="I6" s="63">
        <v>0</v>
      </c>
      <c r="J6" s="63">
        <v>0</v>
      </c>
      <c r="K6" s="63">
        <v>0</v>
      </c>
      <c r="L6" s="110" t="s">
        <v>255</v>
      </c>
      <c r="N6" s="65">
        <v>0.05</v>
      </c>
      <c r="O6" s="89" t="s">
        <v>204</v>
      </c>
    </row>
    <row r="7" spans="1:18" s="60" customFormat="1" ht="43.15" x14ac:dyDescent="0.3">
      <c r="A7" s="105" t="s">
        <v>172</v>
      </c>
      <c r="B7" s="63">
        <v>91977.600000000006</v>
      </c>
      <c r="C7" s="63">
        <v>92766.96</v>
      </c>
      <c r="D7" s="63">
        <v>93341.43</v>
      </c>
      <c r="E7" s="63">
        <v>94182.27</v>
      </c>
      <c r="F7" s="63">
        <f>AVERAGE(C7:E7)</f>
        <v>93430.220000000016</v>
      </c>
      <c r="G7" s="63">
        <f>F7</f>
        <v>93430.220000000016</v>
      </c>
      <c r="H7" s="63">
        <f t="shared" ref="H7:K8" si="2">G7</f>
        <v>93430.220000000016</v>
      </c>
      <c r="I7" s="63">
        <f t="shared" si="2"/>
        <v>93430.220000000016</v>
      </c>
      <c r="J7" s="63">
        <f t="shared" si="2"/>
        <v>93430.220000000016</v>
      </c>
      <c r="K7" s="63">
        <f t="shared" si="2"/>
        <v>93430.220000000016</v>
      </c>
      <c r="L7" s="89" t="s">
        <v>256</v>
      </c>
      <c r="N7" s="86">
        <v>0.85099999999999998</v>
      </c>
      <c r="O7" s="89" t="s">
        <v>168</v>
      </c>
    </row>
    <row r="8" spans="1:18" s="60" customFormat="1" ht="28.9" x14ac:dyDescent="0.3">
      <c r="A8" s="105" t="s">
        <v>173</v>
      </c>
      <c r="B8" s="67">
        <v>33839.555</v>
      </c>
      <c r="C8" s="67">
        <v>33838.830999999998</v>
      </c>
      <c r="D8" s="67">
        <v>33838.718000000001</v>
      </c>
      <c r="E8" s="67">
        <v>33836.239999999998</v>
      </c>
      <c r="F8" s="63">
        <f>AVERAGE(C8:E8)</f>
        <v>33837.929666666663</v>
      </c>
      <c r="G8" s="63">
        <f>F8</f>
        <v>33837.929666666663</v>
      </c>
      <c r="H8" s="63">
        <f t="shared" si="2"/>
        <v>33837.929666666663</v>
      </c>
      <c r="I8" s="63">
        <f t="shared" si="2"/>
        <v>33837.929666666663</v>
      </c>
      <c r="J8" s="63">
        <f t="shared" si="2"/>
        <v>33837.929666666663</v>
      </c>
      <c r="K8" s="63">
        <f t="shared" si="2"/>
        <v>33837.929666666663</v>
      </c>
      <c r="L8" s="89" t="s">
        <v>251</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4.1042277947578309E-3</v>
      </c>
      <c r="O9" s="89" t="s">
        <v>206</v>
      </c>
    </row>
    <row r="10" spans="1:18" s="60" customFormat="1" ht="15.6" x14ac:dyDescent="0.3">
      <c r="A10" s="105" t="s">
        <v>174</v>
      </c>
      <c r="B10" s="63">
        <f>B5*B9</f>
        <v>785740</v>
      </c>
      <c r="C10" s="63">
        <f t="shared" ref="C10:K10" si="3">C5*C9</f>
        <v>837000</v>
      </c>
      <c r="D10" s="63">
        <f t="shared" si="3"/>
        <v>862840</v>
      </c>
      <c r="E10" s="63">
        <f t="shared" si="3"/>
        <v>911430</v>
      </c>
      <c r="F10" s="63">
        <f t="shared" si="3"/>
        <v>961450</v>
      </c>
      <c r="G10" s="63">
        <f t="shared" si="3"/>
        <v>985740</v>
      </c>
      <c r="H10" s="63">
        <f t="shared" si="3"/>
        <v>1035151.1305181717</v>
      </c>
      <c r="I10" s="63">
        <f t="shared" si="3"/>
        <v>1086645.0641307202</v>
      </c>
      <c r="J10" s="63">
        <f t="shared" si="3"/>
        <v>1138544.2466149167</v>
      </c>
      <c r="K10" s="63">
        <f t="shared" si="3"/>
        <v>1190851.137038995</v>
      </c>
      <c r="L10" s="89" t="s">
        <v>207</v>
      </c>
      <c r="N10" s="68"/>
      <c r="O10" s="62"/>
    </row>
    <row r="11" spans="1:18" s="60" customFormat="1" ht="28.9" x14ac:dyDescent="0.3">
      <c r="A11" s="105" t="s">
        <v>175</v>
      </c>
      <c r="B11" s="63">
        <f t="shared" ref="B11:K11" si="4">MAX(B3-SUM(B6:B8,B10), B3*$N$6)</f>
        <v>838684.24500000011</v>
      </c>
      <c r="C11" s="63">
        <f t="shared" si="4"/>
        <v>796843.60900000017</v>
      </c>
      <c r="D11" s="63">
        <f t="shared" si="4"/>
        <v>777391.05200000014</v>
      </c>
      <c r="E11" s="63">
        <f t="shared" si="4"/>
        <v>741714.29</v>
      </c>
      <c r="F11" s="63">
        <f t="shared" si="4"/>
        <v>695956.31700000027</v>
      </c>
      <c r="G11" s="63">
        <f t="shared" si="4"/>
        <v>673666.31700000027</v>
      </c>
      <c r="H11" s="63">
        <f t="shared" si="4"/>
        <v>987835.61277053505</v>
      </c>
      <c r="I11" s="63">
        <f t="shared" si="4"/>
        <v>1304297.5111902377</v>
      </c>
      <c r="J11" s="63">
        <f t="shared" si="4"/>
        <v>1262733.6391565928</v>
      </c>
      <c r="K11" s="63">
        <f t="shared" si="4"/>
        <v>1220804.4776514845</v>
      </c>
      <c r="L11" s="89" t="s">
        <v>208</v>
      </c>
      <c r="N11" s="68"/>
      <c r="O11" s="62"/>
    </row>
    <row r="12" spans="1:18" s="60" customFormat="1" ht="43.9" x14ac:dyDescent="0.35">
      <c r="A12" s="105" t="s">
        <v>197</v>
      </c>
      <c r="B12" s="63">
        <f t="shared" ref="B12:K12" si="5">B6*$N$3+B11*$N$2</f>
        <v>1020679.0185130001</v>
      </c>
      <c r="C12" s="63">
        <f t="shared" si="5"/>
        <v>1005944.1783986001</v>
      </c>
      <c r="D12" s="63">
        <f t="shared" si="5"/>
        <v>998428.01796080009</v>
      </c>
      <c r="E12" s="63">
        <f t="shared" si="5"/>
        <v>974856.88634600001</v>
      </c>
      <c r="F12" s="63">
        <f t="shared" si="5"/>
        <v>959974.35023513343</v>
      </c>
      <c r="G12" s="63">
        <f t="shared" si="5"/>
        <v>950269.28423513332</v>
      </c>
      <c r="H12" s="63">
        <f t="shared" si="5"/>
        <v>758581.11070695752</v>
      </c>
      <c r="I12" s="63">
        <f t="shared" si="5"/>
        <v>567891.13637222955</v>
      </c>
      <c r="J12" s="63">
        <f t="shared" si="5"/>
        <v>549794.22648878046</v>
      </c>
      <c r="K12" s="63">
        <f t="shared" si="5"/>
        <v>531538.26956945634</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8" s="60" customFormat="1" ht="30" x14ac:dyDescent="0.35">
      <c r="A16" s="105" t="s">
        <v>199</v>
      </c>
      <c r="B16" s="82">
        <f>B12/B3</f>
        <v>0.41423661465625006</v>
      </c>
      <c r="C16" s="82">
        <f t="shared" ref="C16:K16" si="7">C12/C3</f>
        <v>0.40595003163785315</v>
      </c>
      <c r="D16" s="82">
        <f t="shared" si="7"/>
        <v>0.40162028075655676</v>
      </c>
      <c r="E16" s="82">
        <f t="shared" si="7"/>
        <v>0.39135162037173826</v>
      </c>
      <c r="F16" s="82">
        <f t="shared" si="7"/>
        <v>0.3839897400940534</v>
      </c>
      <c r="G16" s="82">
        <f t="shared" si="7"/>
        <v>0.37980387059757525</v>
      </c>
      <c r="H16" s="82">
        <f t="shared" si="7"/>
        <v>0.30247448826580725</v>
      </c>
      <c r="I16" s="82">
        <f t="shared" si="7"/>
        <v>0.22551374701774426</v>
      </c>
      <c r="J16" s="82">
        <f t="shared" si="7"/>
        <v>0.21743492852543839</v>
      </c>
      <c r="K16" s="82">
        <f t="shared" si="7"/>
        <v>0.20935574239427446</v>
      </c>
      <c r="L16" s="89" t="s">
        <v>212</v>
      </c>
    </row>
    <row r="17" spans="1:18"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8" ht="43.9" thickBot="1" x14ac:dyDescent="0.35">
      <c r="A18" s="128" t="s">
        <v>201</v>
      </c>
      <c r="B18" s="84">
        <f t="shared" ref="B18:K18" si="9">B12*(B14/$N$7)-B17</f>
        <v>979899.83328451356</v>
      </c>
      <c r="C18" s="84">
        <f t="shared" si="9"/>
        <v>925563.20997191989</v>
      </c>
      <c r="D18" s="84">
        <f t="shared" si="9"/>
        <v>878757.44471520477</v>
      </c>
      <c r="E18" s="84">
        <f t="shared" si="9"/>
        <v>819063.07137178618</v>
      </c>
      <c r="F18" s="84">
        <f t="shared" si="9"/>
        <v>768205.09108122915</v>
      </c>
      <c r="G18" s="84">
        <f t="shared" si="9"/>
        <v>722472.65205655852</v>
      </c>
      <c r="H18" s="84">
        <f t="shared" si="9"/>
        <v>547319.39127388003</v>
      </c>
      <c r="I18" s="84">
        <f t="shared" si="9"/>
        <v>387046.83795052074</v>
      </c>
      <c r="J18" s="84">
        <f t="shared" si="9"/>
        <v>352746.94202452898</v>
      </c>
      <c r="K18" s="84">
        <f t="shared" si="9"/>
        <v>319172.80346650083</v>
      </c>
      <c r="L18" s="93" t="s">
        <v>214</v>
      </c>
      <c r="N18" s="60"/>
      <c r="O18" s="60"/>
      <c r="P18" s="60"/>
      <c r="Q18" s="60"/>
      <c r="R18" s="60"/>
    </row>
    <row r="19" spans="1:18" x14ac:dyDescent="0.25">
      <c r="A19" s="85"/>
      <c r="B19" s="85"/>
      <c r="C19" s="85"/>
      <c r="D19" s="85"/>
      <c r="E19" s="85"/>
      <c r="F19" s="85"/>
      <c r="G19" s="85"/>
      <c r="H19" s="85"/>
      <c r="I19" s="85"/>
      <c r="J19" s="85"/>
      <c r="K19" s="85"/>
      <c r="N19" s="60"/>
      <c r="O19" s="60"/>
      <c r="P19" s="60"/>
      <c r="Q19" s="60"/>
      <c r="R19" s="60"/>
    </row>
    <row r="20" spans="1:18" x14ac:dyDescent="0.25">
      <c r="N20" s="2"/>
    </row>
    <row r="21" spans="1:18" x14ac:dyDescent="0.25">
      <c r="N21" s="2"/>
    </row>
    <row r="22" spans="1:18" x14ac:dyDescent="0.25">
      <c r="N22" s="2"/>
    </row>
    <row r="23" spans="1:18" x14ac:dyDescent="0.25">
      <c r="N23" s="2"/>
    </row>
    <row r="24" spans="1:18" x14ac:dyDescent="0.25">
      <c r="N24" s="2"/>
    </row>
  </sheetData>
  <mergeCells count="3">
    <mergeCell ref="B1:L1"/>
    <mergeCell ref="N1:O1"/>
    <mergeCell ref="B13:J1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heetViews>
  <sheetFormatPr defaultRowHeight="15" x14ac:dyDescent="0.25"/>
  <cols>
    <col min="1" max="1" width="31.42578125" customWidth="1"/>
    <col min="2" max="11" width="10.5703125" bestFit="1" customWidth="1"/>
    <col min="12" max="12" width="49.28515625" style="3" customWidth="1"/>
    <col min="14" max="14" width="8.7109375" customWidth="1"/>
    <col min="15" max="15" width="41.7109375" customWidth="1"/>
    <col min="16" max="17" width="12" customWidth="1"/>
    <col min="18" max="18" width="9.7109375" customWidth="1"/>
    <col min="19" max="19" width="14.28515625" customWidth="1"/>
    <col min="20" max="20" width="10.7109375" bestFit="1" customWidth="1"/>
  </cols>
  <sheetData>
    <row r="1" spans="1:18" s="60" customFormat="1" ht="15.6" x14ac:dyDescent="0.3">
      <c r="A1" s="103" t="s">
        <v>84</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58.15" x14ac:dyDescent="0.35">
      <c r="A3" s="105" t="s">
        <v>169</v>
      </c>
      <c r="B3" s="63">
        <f>SUMIFS('Form 1.5a'!J:J, 'Form 1.5a'!$B:$B, "Roseville")*1000</f>
        <v>1400000</v>
      </c>
      <c r="C3" s="63">
        <f>SUMIFS('Form 1.5a'!K:K, 'Form 1.5a'!$B:$B, "Roseville")*1000</f>
        <v>1416000</v>
      </c>
      <c r="D3" s="63">
        <f>SUMIFS('Form 1.5a'!L:L, 'Form 1.5a'!$B:$B, "Roseville")*1000</f>
        <v>1432000</v>
      </c>
      <c r="E3" s="63">
        <f>SUMIFS('Form 1.5a'!M:M, 'Form 1.5a'!$B:$B, "Roseville")*1000</f>
        <v>1447000</v>
      </c>
      <c r="F3" s="63">
        <f>SUMIFS('Form 1.5a'!N:N, 'Form 1.5a'!$B:$B, "Roseville")*1000</f>
        <v>1461000</v>
      </c>
      <c r="G3" s="63">
        <f>SUMIFS('Form 1.5a'!O:O, 'Form 1.5a'!$B:$B, "Roseville")*1000</f>
        <v>1475000</v>
      </c>
      <c r="H3" s="67">
        <f>AVERAGE(E3:G3)*(1+$N$9)</f>
        <v>1476362.8539233785</v>
      </c>
      <c r="I3" s="67">
        <f t="shared" ref="I3:K4" si="0">H3*(1+$N$9)</f>
        <v>1491887.2528711725</v>
      </c>
      <c r="J3" s="67">
        <f t="shared" si="0"/>
        <v>1507574.8955378463</v>
      </c>
      <c r="K3" s="67">
        <f t="shared" si="0"/>
        <v>1523427.4984801465</v>
      </c>
      <c r="L3" s="89" t="s">
        <v>218</v>
      </c>
      <c r="N3" s="64">
        <v>0.91839999999999999</v>
      </c>
      <c r="O3" s="9" t="s">
        <v>203</v>
      </c>
    </row>
    <row r="4" spans="1:18" s="60" customFormat="1" ht="57.6" x14ac:dyDescent="0.3">
      <c r="A4" s="105" t="s">
        <v>170</v>
      </c>
      <c r="B4" s="63">
        <f>SUMIFS('Form 1.1c'!J:J, 'Form 1.1c'!$B:$B, "City of Roseville")*1000</f>
        <v>1316000</v>
      </c>
      <c r="C4" s="63">
        <f>SUMIFS('Form 1.1c'!K:K, 'Form 1.1c'!$B:$B, "City of Roseville")*1000</f>
        <v>1331000</v>
      </c>
      <c r="D4" s="63">
        <f>SUMIFS('Form 1.1c'!L:L, 'Form 1.1c'!$B:$B, "City of Roseville")*1000</f>
        <v>1346000</v>
      </c>
      <c r="E4" s="63">
        <f>SUMIFS('Form 1.1c'!M:M, 'Form 1.1c'!$B:$B, "City of Roseville")*1000</f>
        <v>1361000</v>
      </c>
      <c r="F4" s="63">
        <f>SUMIFS('Form 1.1c'!N:N, 'Form 1.1c'!$B:$B, "City of Roseville")*1000</f>
        <v>1374000</v>
      </c>
      <c r="G4" s="63">
        <f>SUMIFS('Form 1.1c'!O:O, 'Form 1.1c'!$B:$B, "City of Roseville")*1000</f>
        <v>1387000</v>
      </c>
      <c r="H4" s="67">
        <f>AVERAGE(E4:G4)*(1+$N$9)</f>
        <v>1388448.0227862576</v>
      </c>
      <c r="I4" s="63">
        <f t="shared" si="0"/>
        <v>1403047.9708726839</v>
      </c>
      <c r="J4" s="63">
        <f t="shared" si="0"/>
        <v>1417801.441799453</v>
      </c>
      <c r="K4" s="63">
        <f t="shared" si="0"/>
        <v>1432710.0499053535</v>
      </c>
      <c r="L4" s="89" t="s">
        <v>222</v>
      </c>
      <c r="N4" s="70">
        <f>0.15</f>
        <v>0.15</v>
      </c>
      <c r="O4" s="89" t="s">
        <v>166</v>
      </c>
    </row>
    <row r="5" spans="1:18" s="60" customFormat="1" ht="28.9" x14ac:dyDescent="0.3">
      <c r="A5" s="105" t="s">
        <v>194</v>
      </c>
      <c r="B5" s="63">
        <f t="shared" ref="B5:K5" si="1">IF(AND(0&lt;(B3-B4)/B3,(B3-B4)/B3&lt;$N$4),B4,B3*(1-$N$5))</f>
        <v>1316000</v>
      </c>
      <c r="C5" s="63">
        <f t="shared" si="1"/>
        <v>1331000</v>
      </c>
      <c r="D5" s="63">
        <f t="shared" si="1"/>
        <v>1346000</v>
      </c>
      <c r="E5" s="63">
        <f t="shared" si="1"/>
        <v>1361000</v>
      </c>
      <c r="F5" s="63">
        <f t="shared" si="1"/>
        <v>1374000</v>
      </c>
      <c r="G5" s="63">
        <f t="shared" si="1"/>
        <v>1387000</v>
      </c>
      <c r="H5" s="63">
        <f t="shared" si="1"/>
        <v>1388448.0227862576</v>
      </c>
      <c r="I5" s="63">
        <f t="shared" si="1"/>
        <v>1403047.9708726839</v>
      </c>
      <c r="J5" s="63">
        <f t="shared" si="1"/>
        <v>1417801.441799453</v>
      </c>
      <c r="K5" s="63">
        <f t="shared" si="1"/>
        <v>1432710.0499053535</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242</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243</v>
      </c>
      <c r="N7" s="86">
        <v>0.85099999999999998</v>
      </c>
      <c r="O7" s="89" t="s">
        <v>168</v>
      </c>
    </row>
    <row r="8" spans="1:18" s="60" customFormat="1" ht="28.9" x14ac:dyDescent="0.3">
      <c r="A8" s="105" t="s">
        <v>173</v>
      </c>
      <c r="B8" s="67">
        <v>220903.74791426898</v>
      </c>
      <c r="C8" s="67">
        <v>217799.58138131499</v>
      </c>
      <c r="D8" s="67">
        <v>218823.37164958802</v>
      </c>
      <c r="E8" s="67">
        <v>220140.47312763199</v>
      </c>
      <c r="F8" s="63">
        <f>AVERAGE(C8:E8)</f>
        <v>218921.14205284501</v>
      </c>
      <c r="G8" s="63">
        <f>F8</f>
        <v>218921.14205284501</v>
      </c>
      <c r="H8" s="63">
        <f t="shared" ref="H8:K8" si="2">G8</f>
        <v>218921.14205284501</v>
      </c>
      <c r="I8" s="63">
        <f t="shared" si="2"/>
        <v>218921.14205284501</v>
      </c>
      <c r="J8" s="63">
        <f t="shared" si="2"/>
        <v>218921.14205284501</v>
      </c>
      <c r="K8" s="63">
        <f t="shared" si="2"/>
        <v>218921.14205284501</v>
      </c>
      <c r="L8" s="89" t="s">
        <v>251</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f>VLOOKUP("Roseville",'Form 1.5a'!B:P,15,FALSE)</f>
        <v>1.0515300426679364E-2</v>
      </c>
      <c r="O9" s="89" t="s">
        <v>206</v>
      </c>
    </row>
    <row r="10" spans="1:18" s="60" customFormat="1" ht="15.6" x14ac:dyDescent="0.3">
      <c r="A10" s="105" t="s">
        <v>174</v>
      </c>
      <c r="B10" s="63">
        <f>B5*B9</f>
        <v>447440.00000000006</v>
      </c>
      <c r="C10" s="63">
        <f t="shared" ref="C10:K10" si="3">C5*C9</f>
        <v>479160</v>
      </c>
      <c r="D10" s="63">
        <f t="shared" si="3"/>
        <v>498020</v>
      </c>
      <c r="E10" s="63">
        <f t="shared" si="3"/>
        <v>530790</v>
      </c>
      <c r="F10" s="63">
        <f t="shared" si="3"/>
        <v>563340</v>
      </c>
      <c r="G10" s="63">
        <f t="shared" si="3"/>
        <v>582540</v>
      </c>
      <c r="H10" s="63">
        <f t="shared" si="3"/>
        <v>610917.13002595329</v>
      </c>
      <c r="I10" s="63">
        <f t="shared" si="3"/>
        <v>645402.06660143461</v>
      </c>
      <c r="J10" s="63">
        <f t="shared" si="3"/>
        <v>680544.69206373743</v>
      </c>
      <c r="K10" s="63">
        <f t="shared" si="3"/>
        <v>716355.02495267673</v>
      </c>
      <c r="L10" s="89" t="s">
        <v>207</v>
      </c>
      <c r="N10" s="68"/>
      <c r="O10" s="62"/>
    </row>
    <row r="11" spans="1:18" s="60" customFormat="1" ht="28.9" x14ac:dyDescent="0.3">
      <c r="A11" s="105" t="s">
        <v>175</v>
      </c>
      <c r="B11" s="63">
        <f t="shared" ref="B11:K11" si="4">MAX(B3-SUM(B6:B8,B10), B3*$N$6)</f>
        <v>731656.2520857309</v>
      </c>
      <c r="C11" s="63">
        <f t="shared" si="4"/>
        <v>719040.41861868498</v>
      </c>
      <c r="D11" s="63">
        <f t="shared" si="4"/>
        <v>715156.62835041201</v>
      </c>
      <c r="E11" s="63">
        <f t="shared" si="4"/>
        <v>696069.52687236806</v>
      </c>
      <c r="F11" s="63">
        <f t="shared" si="4"/>
        <v>678738.85794715502</v>
      </c>
      <c r="G11" s="63">
        <f t="shared" si="4"/>
        <v>673538.85794715502</v>
      </c>
      <c r="H11" s="63">
        <f t="shared" si="4"/>
        <v>646524.58184458024</v>
      </c>
      <c r="I11" s="63">
        <f t="shared" si="4"/>
        <v>627564.04421689291</v>
      </c>
      <c r="J11" s="63">
        <f t="shared" si="4"/>
        <v>608109.06142126385</v>
      </c>
      <c r="K11" s="63">
        <f t="shared" si="4"/>
        <v>588151.33147462481</v>
      </c>
      <c r="L11" s="89" t="s">
        <v>208</v>
      </c>
      <c r="N11" s="68"/>
      <c r="O11" s="62"/>
    </row>
    <row r="12" spans="1:18" s="60" customFormat="1" ht="43.9" x14ac:dyDescent="0.35">
      <c r="A12" s="105" t="s">
        <v>197</v>
      </c>
      <c r="B12" s="63">
        <f t="shared" ref="B12:K12" si="5">B6*$N$3+B11*$N$2</f>
        <v>318563.13215812726</v>
      </c>
      <c r="C12" s="63">
        <f t="shared" si="5"/>
        <v>313070.19826657546</v>
      </c>
      <c r="D12" s="63">
        <f t="shared" si="5"/>
        <v>311379.19598376937</v>
      </c>
      <c r="E12" s="63">
        <f t="shared" si="5"/>
        <v>303068.67200022907</v>
      </c>
      <c r="F12" s="63">
        <f t="shared" si="5"/>
        <v>295522.89875019132</v>
      </c>
      <c r="G12" s="63">
        <f t="shared" si="5"/>
        <v>293258.81875019131</v>
      </c>
      <c r="H12" s="63">
        <f t="shared" si="5"/>
        <v>281496.80293513025</v>
      </c>
      <c r="I12" s="63">
        <f t="shared" si="5"/>
        <v>273241.3848520352</v>
      </c>
      <c r="J12" s="63">
        <f t="shared" si="5"/>
        <v>264770.68534281827</v>
      </c>
      <c r="K12" s="63">
        <f t="shared" si="5"/>
        <v>256081.08972405165</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8" s="60" customFormat="1" ht="30" x14ac:dyDescent="0.35">
      <c r="A16" s="105" t="s">
        <v>199</v>
      </c>
      <c r="B16" s="82">
        <f t="shared" ref="B16:K16" si="7">B12/B3</f>
        <v>0.22754509439866233</v>
      </c>
      <c r="C16" s="82">
        <f t="shared" si="7"/>
        <v>0.22109477278712955</v>
      </c>
      <c r="D16" s="82">
        <f t="shared" si="7"/>
        <v>0.21744357261436409</v>
      </c>
      <c r="E16" s="82">
        <f t="shared" si="7"/>
        <v>0.20944621423650939</v>
      </c>
      <c r="F16" s="82">
        <f t="shared" si="7"/>
        <v>0.2022744002396929</v>
      </c>
      <c r="G16" s="82">
        <f t="shared" si="7"/>
        <v>0.19881953813572292</v>
      </c>
      <c r="H16" s="82">
        <f t="shared" si="7"/>
        <v>0.19066911781684504</v>
      </c>
      <c r="I16" s="82">
        <f t="shared" si="7"/>
        <v>0.18315149775975073</v>
      </c>
      <c r="J16" s="82">
        <f t="shared" si="7"/>
        <v>0.17562688668171142</v>
      </c>
      <c r="K16" s="82">
        <f t="shared" si="7"/>
        <v>0.16809535733044859</v>
      </c>
      <c r="L16" s="89" t="s">
        <v>212</v>
      </c>
    </row>
    <row r="17" spans="1:18"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8" ht="43.9" thickBot="1" x14ac:dyDescent="0.35">
      <c r="A18" s="128" t="s">
        <v>201</v>
      </c>
      <c r="B18" s="84">
        <f t="shared" ref="B18:K18" si="9">B12*(B14/$N$7)-B17</f>
        <v>305835.58046203287</v>
      </c>
      <c r="C18" s="84">
        <f t="shared" si="9"/>
        <v>288054.01321119693</v>
      </c>
      <c r="D18" s="84">
        <f t="shared" si="9"/>
        <v>274057.60022543272</v>
      </c>
      <c r="E18" s="84">
        <f t="shared" si="9"/>
        <v>254634.66566411726</v>
      </c>
      <c r="F18" s="84">
        <f t="shared" si="9"/>
        <v>236487.77209034114</v>
      </c>
      <c r="G18" s="84">
        <f t="shared" si="9"/>
        <v>222959.40743992219</v>
      </c>
      <c r="H18" s="84">
        <f t="shared" si="9"/>
        <v>203101.10106012924</v>
      </c>
      <c r="I18" s="84">
        <f t="shared" si="9"/>
        <v>186227.97087447756</v>
      </c>
      <c r="J18" s="84">
        <f t="shared" si="9"/>
        <v>169876.37390972831</v>
      </c>
      <c r="K18" s="84">
        <f t="shared" si="9"/>
        <v>153769.02097413677</v>
      </c>
      <c r="L18" s="93" t="s">
        <v>214</v>
      </c>
      <c r="N18" s="60"/>
      <c r="O18" s="60"/>
      <c r="P18" s="60"/>
      <c r="Q18" s="60"/>
      <c r="R18" s="60"/>
    </row>
    <row r="19" spans="1:18" ht="14.45" x14ac:dyDescent="0.3">
      <c r="A19" s="85"/>
      <c r="B19" s="85"/>
      <c r="C19" s="85"/>
      <c r="D19" s="85"/>
      <c r="E19" s="85"/>
      <c r="F19" s="85"/>
      <c r="G19" s="85"/>
      <c r="H19" s="85"/>
      <c r="I19" s="85"/>
      <c r="J19" s="85"/>
      <c r="K19" s="85"/>
      <c r="N19" s="60"/>
      <c r="O19" s="60"/>
      <c r="P19" s="60"/>
      <c r="Q19" s="60"/>
      <c r="R19" s="60"/>
    </row>
    <row r="20" spans="1:18" ht="14.45" x14ac:dyDescent="0.3">
      <c r="E20" s="1"/>
      <c r="F20" s="2"/>
      <c r="G20" s="2"/>
      <c r="H20" s="2"/>
      <c r="I20" s="2"/>
      <c r="J20" s="2"/>
      <c r="K20" s="2"/>
      <c r="L20" s="121"/>
      <c r="M20" s="2"/>
    </row>
    <row r="21" spans="1:18" x14ac:dyDescent="0.25">
      <c r="E21" s="1"/>
      <c r="F21" s="2"/>
      <c r="G21" s="2"/>
      <c r="H21" s="2"/>
      <c r="I21" s="2"/>
      <c r="J21" s="2"/>
      <c r="K21" s="2"/>
      <c r="L21" s="121"/>
      <c r="M21" s="2"/>
    </row>
    <row r="22" spans="1:18" x14ac:dyDescent="0.25">
      <c r="E22" s="1"/>
      <c r="F22" s="2"/>
      <c r="G22" s="2"/>
      <c r="H22" s="2"/>
      <c r="I22" s="2"/>
      <c r="J22" s="2"/>
      <c r="K22" s="2"/>
      <c r="L22" s="121"/>
      <c r="M22" s="2"/>
      <c r="N22" s="2"/>
    </row>
    <row r="23" spans="1:18" x14ac:dyDescent="0.25">
      <c r="E23" s="1"/>
      <c r="F23" s="2"/>
      <c r="G23" s="2"/>
      <c r="H23" s="2"/>
      <c r="I23" s="2"/>
      <c r="J23" s="2"/>
      <c r="K23" s="2"/>
      <c r="L23" s="121"/>
      <c r="M23" s="2"/>
      <c r="N23" s="2"/>
    </row>
    <row r="25" spans="1:18" x14ac:dyDescent="0.25">
      <c r="N25" s="2"/>
    </row>
    <row r="26" spans="1:18" x14ac:dyDescent="0.25">
      <c r="N26" s="2"/>
    </row>
    <row r="28" spans="1:18" x14ac:dyDescent="0.25">
      <c r="N28" s="1"/>
    </row>
  </sheetData>
  <mergeCells count="3">
    <mergeCell ref="B1:L1"/>
    <mergeCell ref="N1:O1"/>
    <mergeCell ref="B13:J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38.140625" customWidth="1"/>
    <col min="2" max="11" width="9" bestFit="1" customWidth="1"/>
    <col min="12" max="12" width="49.28515625" style="3" customWidth="1"/>
    <col min="14" max="14" width="8.7109375" customWidth="1"/>
    <col min="15" max="15" width="43.28515625" customWidth="1"/>
  </cols>
  <sheetData>
    <row r="1" spans="1:18" s="60" customFormat="1" ht="15.6" x14ac:dyDescent="0.3">
      <c r="A1" s="103" t="s">
        <v>85</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58.15" x14ac:dyDescent="0.35">
      <c r="A3" s="105" t="s">
        <v>169</v>
      </c>
      <c r="B3" s="63">
        <f>SUMIFS('Form 1.5a'!J:J, 'Form 1.5a'!$B:$B, "City of Shasta Lake")*1000</f>
        <v>208000</v>
      </c>
      <c r="C3" s="63">
        <f>SUMIFS('Form 1.5a'!K:K, 'Form 1.5a'!$B:$B, "City of Shasta Lake")*1000</f>
        <v>210000</v>
      </c>
      <c r="D3" s="63">
        <f>SUMIFS('Form 1.5a'!L:L, 'Form 1.5a'!$B:$B, "City of Shasta Lake")*1000</f>
        <v>213000</v>
      </c>
      <c r="E3" s="63">
        <f>SUMIFS('Form 1.5a'!M:M, 'Form 1.5a'!$B:$B, "City of Shasta Lake")*1000</f>
        <v>215000</v>
      </c>
      <c r="F3" s="63">
        <f>SUMIFS('Form 1.5a'!N:N, 'Form 1.5a'!$B:$B, "City of Shasta Lake")*1000</f>
        <v>217000</v>
      </c>
      <c r="G3" s="63">
        <f>SUMIFS('Form 1.5a'!O:O, 'Form 1.5a'!$B:$B, "City of Shasta Lake")*1000</f>
        <v>219000</v>
      </c>
      <c r="H3" s="67">
        <f>AVERAGE(E3:G3)*(1+$N$9)</f>
        <v>219297.47657165219</v>
      </c>
      <c r="I3" s="67">
        <f t="shared" ref="I3:K4" si="0">H3*(1+$N$9)</f>
        <v>221619.27756080343</v>
      </c>
      <c r="J3" s="67">
        <f t="shared" si="0"/>
        <v>223965.66050099896</v>
      </c>
      <c r="K3" s="67">
        <f t="shared" si="0"/>
        <v>226336.88565240751</v>
      </c>
      <c r="L3" s="89" t="s">
        <v>218</v>
      </c>
      <c r="N3" s="64">
        <v>0.91839999999999999</v>
      </c>
      <c r="O3" s="9" t="s">
        <v>203</v>
      </c>
    </row>
    <row r="4" spans="1:18" s="60" customFormat="1" ht="57.6" x14ac:dyDescent="0.3">
      <c r="A4" s="105" t="s">
        <v>170</v>
      </c>
      <c r="B4" s="63">
        <f>SUMIFS('Form 1.1c'!J:J, 'Form 1.1c'!$B:$B, "City of Shasta Lake")*1000</f>
        <v>195000</v>
      </c>
      <c r="C4" s="63">
        <f>SUMIFS('Form 1.1c'!K:K, 'Form 1.1c'!$B:$B, "City of Shasta Lake")*1000</f>
        <v>198000</v>
      </c>
      <c r="D4" s="63">
        <f>SUMIFS('Form 1.1c'!L:L, 'Form 1.1c'!$B:$B, "City of Shasta Lake")*1000</f>
        <v>200000</v>
      </c>
      <c r="E4" s="63">
        <f>SUMIFS('Form 1.1c'!M:M, 'Form 1.1c'!$B:$B, "City of Shasta Lake")*1000</f>
        <v>202000</v>
      </c>
      <c r="F4" s="63">
        <f>SUMIFS('Form 1.1c'!N:N, 'Form 1.1c'!$B:$B, "City of Shasta Lake")*1000</f>
        <v>204000</v>
      </c>
      <c r="G4" s="63">
        <f>SUMIFS('Form 1.1c'!O:O, 'Form 1.1c'!$B:$B, "City of Shasta Lake")*1000</f>
        <v>206000</v>
      </c>
      <c r="H4" s="67">
        <f>AVERAGE(E4:G4)*(1+$N$9)</f>
        <v>206159.83972634585</v>
      </c>
      <c r="I4" s="63">
        <f t="shared" si="0"/>
        <v>208342.54664702257</v>
      </c>
      <c r="J4" s="63">
        <f t="shared" si="0"/>
        <v>210548.36286729854</v>
      </c>
      <c r="K4" s="63">
        <f t="shared" si="0"/>
        <v>212777.53305571948</v>
      </c>
      <c r="L4" s="89" t="s">
        <v>222</v>
      </c>
      <c r="N4" s="70">
        <f>0.15</f>
        <v>0.15</v>
      </c>
      <c r="O4" s="89" t="s">
        <v>166</v>
      </c>
    </row>
    <row r="5" spans="1:18" s="60" customFormat="1" ht="28.9" x14ac:dyDescent="0.3">
      <c r="A5" s="105" t="s">
        <v>194</v>
      </c>
      <c r="B5" s="63">
        <f t="shared" ref="B5:K5" si="1">IF(AND(0&lt;(B3-B4)/B3,(B3-B4)/B3&lt;$N$4),B4,B3*(1-$N$5))</f>
        <v>195000</v>
      </c>
      <c r="C5" s="63">
        <f t="shared" si="1"/>
        <v>198000</v>
      </c>
      <c r="D5" s="63">
        <f t="shared" si="1"/>
        <v>200000</v>
      </c>
      <c r="E5" s="63">
        <f t="shared" si="1"/>
        <v>202000</v>
      </c>
      <c r="F5" s="63">
        <f t="shared" si="1"/>
        <v>204000</v>
      </c>
      <c r="G5" s="63">
        <f t="shared" si="1"/>
        <v>206000</v>
      </c>
      <c r="H5" s="63">
        <f t="shared" si="1"/>
        <v>206159.83972634585</v>
      </c>
      <c r="I5" s="63">
        <f t="shared" si="1"/>
        <v>208342.54664702257</v>
      </c>
      <c r="J5" s="63">
        <f t="shared" si="1"/>
        <v>210548.36286729854</v>
      </c>
      <c r="K5" s="63">
        <f t="shared" si="1"/>
        <v>212777.53305571948</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14.45" x14ac:dyDescent="0.3">
      <c r="A8" s="105" t="s">
        <v>173</v>
      </c>
      <c r="B8" s="67">
        <v>0</v>
      </c>
      <c r="C8" s="67">
        <v>0</v>
      </c>
      <c r="D8" s="67">
        <v>0</v>
      </c>
      <c r="E8" s="67">
        <v>0</v>
      </c>
      <c r="F8" s="67">
        <v>0</v>
      </c>
      <c r="G8" s="67">
        <v>0</v>
      </c>
      <c r="H8" s="67">
        <v>0</v>
      </c>
      <c r="I8" s="67">
        <v>0</v>
      </c>
      <c r="J8" s="67">
        <v>0</v>
      </c>
      <c r="K8" s="67">
        <v>0</v>
      </c>
      <c r="L8" s="120" t="s">
        <v>246</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1.0587449638950197E-2</v>
      </c>
      <c r="O9" s="89" t="s">
        <v>206</v>
      </c>
    </row>
    <row r="10" spans="1:18" s="60" customFormat="1" ht="15.6" x14ac:dyDescent="0.3">
      <c r="A10" s="105" t="s">
        <v>174</v>
      </c>
      <c r="B10" s="63">
        <f t="shared" ref="B10:K10" si="2">B5*B9</f>
        <v>66300</v>
      </c>
      <c r="C10" s="63">
        <f t="shared" si="2"/>
        <v>71280</v>
      </c>
      <c r="D10" s="63">
        <f t="shared" si="2"/>
        <v>74000</v>
      </c>
      <c r="E10" s="63">
        <f t="shared" si="2"/>
        <v>78780</v>
      </c>
      <c r="F10" s="63">
        <f t="shared" si="2"/>
        <v>83640</v>
      </c>
      <c r="G10" s="63">
        <f t="shared" si="2"/>
        <v>86520</v>
      </c>
      <c r="H10" s="63">
        <f t="shared" si="2"/>
        <v>90710.329479592168</v>
      </c>
      <c r="I10" s="63">
        <f t="shared" si="2"/>
        <v>95837.571457630387</v>
      </c>
      <c r="J10" s="63">
        <f t="shared" si="2"/>
        <v>101063.2141763033</v>
      </c>
      <c r="K10" s="63">
        <f t="shared" si="2"/>
        <v>106388.76652785974</v>
      </c>
      <c r="L10" s="89" t="s">
        <v>207</v>
      </c>
      <c r="N10" s="68"/>
      <c r="O10" s="62"/>
    </row>
    <row r="11" spans="1:18" s="60" customFormat="1" ht="28.9" x14ac:dyDescent="0.3">
      <c r="A11" s="105" t="s">
        <v>175</v>
      </c>
      <c r="B11" s="63">
        <f t="shared" ref="B11:K11" si="3">MAX(B3-SUM(B6:B8,B10), B3*$N$6)</f>
        <v>141700</v>
      </c>
      <c r="C11" s="63">
        <f t="shared" si="3"/>
        <v>138720</v>
      </c>
      <c r="D11" s="63">
        <f t="shared" si="3"/>
        <v>139000</v>
      </c>
      <c r="E11" s="63">
        <f t="shared" si="3"/>
        <v>136220</v>
      </c>
      <c r="F11" s="63">
        <f t="shared" si="3"/>
        <v>133360</v>
      </c>
      <c r="G11" s="63">
        <f t="shared" si="3"/>
        <v>132480</v>
      </c>
      <c r="H11" s="63">
        <f t="shared" si="3"/>
        <v>128587.14709206003</v>
      </c>
      <c r="I11" s="63">
        <f t="shared" si="3"/>
        <v>125781.70610317304</v>
      </c>
      <c r="J11" s="63">
        <f t="shared" si="3"/>
        <v>122902.44632469566</v>
      </c>
      <c r="K11" s="63">
        <f t="shared" si="3"/>
        <v>119948.11912454777</v>
      </c>
      <c r="L11" s="89" t="s">
        <v>208</v>
      </c>
      <c r="N11" s="68"/>
      <c r="O11" s="62"/>
    </row>
    <row r="12" spans="1:18" s="60" customFormat="1" ht="43.9" x14ac:dyDescent="0.35">
      <c r="A12" s="105" t="s">
        <v>197</v>
      </c>
      <c r="B12" s="63">
        <f t="shared" ref="B12:K12" si="4">B6*$N$3+B11*$N$2</f>
        <v>61696.18</v>
      </c>
      <c r="C12" s="63">
        <f t="shared" si="4"/>
        <v>60398.688000000002</v>
      </c>
      <c r="D12" s="63">
        <f t="shared" si="4"/>
        <v>60520.6</v>
      </c>
      <c r="E12" s="63">
        <f t="shared" si="4"/>
        <v>59310.188000000002</v>
      </c>
      <c r="F12" s="63">
        <f t="shared" si="4"/>
        <v>58064.944000000003</v>
      </c>
      <c r="G12" s="63">
        <f t="shared" si="4"/>
        <v>57681.792000000001</v>
      </c>
      <c r="H12" s="63">
        <f t="shared" si="4"/>
        <v>55986.84384388294</v>
      </c>
      <c r="I12" s="63">
        <f t="shared" si="4"/>
        <v>54765.354837321545</v>
      </c>
      <c r="J12" s="63">
        <f t="shared" si="4"/>
        <v>53511.725129772494</v>
      </c>
      <c r="K12" s="63">
        <f t="shared" si="4"/>
        <v>52225.411066828099</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5">$K$13*B14</f>
        <v>0</v>
      </c>
      <c r="C15" s="88">
        <f t="shared" si="5"/>
        <v>0</v>
      </c>
      <c r="D15" s="88">
        <f t="shared" si="5"/>
        <v>0</v>
      </c>
      <c r="E15" s="88">
        <f t="shared" si="5"/>
        <v>0</v>
      </c>
      <c r="F15" s="88">
        <f t="shared" si="5"/>
        <v>0</v>
      </c>
      <c r="G15" s="88">
        <f t="shared" si="5"/>
        <v>0</v>
      </c>
      <c r="H15" s="88">
        <f t="shared" si="5"/>
        <v>0</v>
      </c>
      <c r="I15" s="88">
        <f t="shared" si="5"/>
        <v>0</v>
      </c>
      <c r="J15" s="88">
        <f t="shared" si="5"/>
        <v>0</v>
      </c>
      <c r="K15" s="88">
        <f t="shared" si="5"/>
        <v>0</v>
      </c>
      <c r="L15" s="108" t="s">
        <v>211</v>
      </c>
    </row>
    <row r="16" spans="1:18" s="60" customFormat="1" ht="30" x14ac:dyDescent="0.35">
      <c r="A16" s="105" t="s">
        <v>199</v>
      </c>
      <c r="B16" s="82">
        <f t="shared" ref="B16:K16" si="6">B12/B3</f>
        <v>0.29661625000000003</v>
      </c>
      <c r="C16" s="82">
        <f t="shared" si="6"/>
        <v>0.2876128</v>
      </c>
      <c r="D16" s="82">
        <f t="shared" si="6"/>
        <v>0.2841342723004695</v>
      </c>
      <c r="E16" s="82">
        <f t="shared" si="6"/>
        <v>0.27586133953488373</v>
      </c>
      <c r="F16" s="82">
        <f t="shared" si="6"/>
        <v>0.26758038709677423</v>
      </c>
      <c r="G16" s="82">
        <f t="shared" si="6"/>
        <v>0.26338717808219181</v>
      </c>
      <c r="H16" s="82">
        <f t="shared" si="6"/>
        <v>0.25530090322580645</v>
      </c>
      <c r="I16" s="82">
        <f t="shared" si="6"/>
        <v>0.24711458064516131</v>
      </c>
      <c r="J16" s="82">
        <f t="shared" si="6"/>
        <v>0.23892825806451617</v>
      </c>
      <c r="K16" s="82">
        <f t="shared" si="6"/>
        <v>0.23074193548387098</v>
      </c>
      <c r="L16" s="89" t="s">
        <v>212</v>
      </c>
    </row>
    <row r="17" spans="1:18" s="60" customFormat="1" ht="30.6" thickBot="1" x14ac:dyDescent="0.4">
      <c r="A17" s="105" t="s">
        <v>200</v>
      </c>
      <c r="B17" s="81">
        <f>B15*B16</f>
        <v>0</v>
      </c>
      <c r="C17" s="81">
        <f t="shared" ref="C17:K17" si="7">C15*C16</f>
        <v>0</v>
      </c>
      <c r="D17" s="81">
        <f t="shared" si="7"/>
        <v>0</v>
      </c>
      <c r="E17" s="81">
        <f t="shared" si="7"/>
        <v>0</v>
      </c>
      <c r="F17" s="81">
        <f t="shared" si="7"/>
        <v>0</v>
      </c>
      <c r="G17" s="81">
        <f t="shared" si="7"/>
        <v>0</v>
      </c>
      <c r="H17" s="81">
        <f t="shared" si="7"/>
        <v>0</v>
      </c>
      <c r="I17" s="81">
        <f t="shared" si="7"/>
        <v>0</v>
      </c>
      <c r="J17" s="81">
        <f t="shared" si="7"/>
        <v>0</v>
      </c>
      <c r="K17" s="81">
        <f t="shared" si="7"/>
        <v>0</v>
      </c>
      <c r="L17" s="89" t="s">
        <v>213</v>
      </c>
    </row>
    <row r="18" spans="1:18" ht="43.9" thickBot="1" x14ac:dyDescent="0.35">
      <c r="A18" s="128" t="s">
        <v>201</v>
      </c>
      <c r="B18" s="84">
        <f t="shared" ref="B18:K18" si="8">B12*(B14/$N$7)-B17</f>
        <v>59231.232737955346</v>
      </c>
      <c r="C18" s="84">
        <f t="shared" si="8"/>
        <v>55572.470862514689</v>
      </c>
      <c r="D18" s="84">
        <f t="shared" si="8"/>
        <v>53266.662044653349</v>
      </c>
      <c r="E18" s="84">
        <f t="shared" si="8"/>
        <v>49831.70907168038</v>
      </c>
      <c r="F18" s="84">
        <f t="shared" si="8"/>
        <v>46465.60148531141</v>
      </c>
      <c r="G18" s="84">
        <f t="shared" si="8"/>
        <v>43854.429405405404</v>
      </c>
      <c r="H18" s="84">
        <f t="shared" si="8"/>
        <v>40394.738096526584</v>
      </c>
      <c r="I18" s="84">
        <f t="shared" si="8"/>
        <v>37325.388725789067</v>
      </c>
      <c r="J18" s="84">
        <f t="shared" si="8"/>
        <v>34333.022233673073</v>
      </c>
      <c r="K18" s="84">
        <f t="shared" si="8"/>
        <v>31359.794424382093</v>
      </c>
      <c r="L18" s="93" t="s">
        <v>214</v>
      </c>
      <c r="N18" s="60"/>
      <c r="O18" s="60"/>
      <c r="P18" s="60"/>
      <c r="Q18" s="60"/>
      <c r="R18" s="60"/>
    </row>
    <row r="19" spans="1:18" ht="14.45" x14ac:dyDescent="0.3">
      <c r="A19" s="85"/>
      <c r="B19" s="85"/>
      <c r="C19" s="85"/>
      <c r="D19" s="85"/>
      <c r="E19" s="85"/>
      <c r="F19" s="85"/>
      <c r="G19" s="85"/>
      <c r="H19" s="85"/>
      <c r="I19" s="85"/>
      <c r="J19" s="85"/>
      <c r="K19" s="85"/>
    </row>
  </sheetData>
  <mergeCells count="3">
    <mergeCell ref="B1:L1"/>
    <mergeCell ref="N1:O1"/>
    <mergeCell ref="B13:J1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defaultRowHeight="15" x14ac:dyDescent="0.25"/>
  <cols>
    <col min="1" max="1" width="33.42578125" customWidth="1"/>
    <col min="2" max="11" width="9" bestFit="1" customWidth="1"/>
    <col min="12" max="12" width="49" customWidth="1"/>
    <col min="14" max="14" width="7" bestFit="1" customWidth="1"/>
    <col min="15" max="15" width="45.7109375" customWidth="1"/>
  </cols>
  <sheetData>
    <row r="1" spans="1:15" s="60" customFormat="1" ht="14.45" x14ac:dyDescent="0.3">
      <c r="A1" s="103" t="s">
        <v>51</v>
      </c>
      <c r="B1" s="141" t="s">
        <v>176</v>
      </c>
      <c r="C1" s="142"/>
      <c r="D1" s="142"/>
      <c r="E1" s="142"/>
      <c r="F1" s="142"/>
      <c r="G1" s="142"/>
      <c r="H1" s="142"/>
      <c r="I1" s="142"/>
      <c r="J1" s="142"/>
      <c r="K1" s="142"/>
      <c r="L1" s="143"/>
      <c r="N1" s="144" t="s">
        <v>196</v>
      </c>
      <c r="O1" s="145"/>
    </row>
    <row r="2" spans="1:15" s="60" customFormat="1" ht="14.45" x14ac:dyDescent="0.3">
      <c r="A2" s="104" t="s">
        <v>152</v>
      </c>
      <c r="B2" s="125">
        <v>2021</v>
      </c>
      <c r="C2" s="125">
        <v>2022</v>
      </c>
      <c r="D2" s="125">
        <v>2023</v>
      </c>
      <c r="E2" s="125">
        <v>2024</v>
      </c>
      <c r="F2" s="125">
        <v>2025</v>
      </c>
      <c r="G2" s="125">
        <v>2026</v>
      </c>
      <c r="H2" s="125">
        <v>2027</v>
      </c>
      <c r="I2" s="125">
        <v>2028</v>
      </c>
      <c r="J2" s="125">
        <v>2029</v>
      </c>
      <c r="K2" s="124">
        <v>2030</v>
      </c>
      <c r="L2" s="92" t="s">
        <v>177</v>
      </c>
      <c r="N2" s="61">
        <v>0.43540000000000001</v>
      </c>
      <c r="O2" s="61" t="s">
        <v>273</v>
      </c>
    </row>
    <row r="3" spans="1:15" s="60" customFormat="1" ht="72.599999999999994" x14ac:dyDescent="0.35">
      <c r="A3" s="105" t="s">
        <v>169</v>
      </c>
      <c r="B3" s="63">
        <v>118577.85822888365</v>
      </c>
      <c r="C3" s="63">
        <v>118904.04866054526</v>
      </c>
      <c r="D3" s="63">
        <v>119256.05413960601</v>
      </c>
      <c r="E3" s="63">
        <v>119539.704</v>
      </c>
      <c r="F3" s="63">
        <v>119837.80799999999</v>
      </c>
      <c r="G3" s="63">
        <v>120135.91200000001</v>
      </c>
      <c r="H3" s="67">
        <f>AVERAGE(E3:G3)*(1+$N$9)</f>
        <v>120326.04206375309</v>
      </c>
      <c r="I3" s="67">
        <f t="shared" ref="I3:K4" si="0">H3*(1+$N$9)</f>
        <v>120816.2652535173</v>
      </c>
      <c r="J3" s="67">
        <f t="shared" si="0"/>
        <v>121308.48567323822</v>
      </c>
      <c r="K3" s="67">
        <f t="shared" si="0"/>
        <v>121802.71145987793</v>
      </c>
      <c r="L3" s="89" t="s">
        <v>272</v>
      </c>
      <c r="N3" s="64">
        <v>0.91839999999999999</v>
      </c>
      <c r="O3" s="9" t="s">
        <v>203</v>
      </c>
    </row>
    <row r="4" spans="1:15" s="60" customFormat="1" ht="57.6" x14ac:dyDescent="0.3">
      <c r="A4" s="105" t="s">
        <v>170</v>
      </c>
      <c r="B4" s="63">
        <f>SUMIFS('Form 1.1c'!J:J, 'Form 1.1c'!$B:$B, "City of Ukiah")*1000</f>
        <v>112000</v>
      </c>
      <c r="C4" s="63">
        <f>SUMIFS('Form 1.1c'!K:K, 'Form 1.1c'!$B:$B, "City of Ukiah")*1000</f>
        <v>112000</v>
      </c>
      <c r="D4" s="63">
        <f>SUMIFS('Form 1.1c'!L:L, 'Form 1.1c'!$B:$B, "City of Ukiah")*1000</f>
        <v>113000</v>
      </c>
      <c r="E4" s="63">
        <f>SUMIFS('Form 1.1c'!M:M, 'Form 1.1c'!$B:$B, "City of Ukiah")*1000</f>
        <v>114000</v>
      </c>
      <c r="F4" s="63">
        <f>SUMIFS('Form 1.1c'!N:N, 'Form 1.1c'!$B:$B, "City of Ukiah")*1000</f>
        <v>114000</v>
      </c>
      <c r="G4" s="63">
        <f>SUMIFS('Form 1.1c'!O:O, 'Form 1.1c'!$B:$B, "City of Ukiah")*1000</f>
        <v>115000</v>
      </c>
      <c r="H4" s="67">
        <f>AVERAGE(E4:G4)*(1+$N$9)</f>
        <v>114799.14148593046</v>
      </c>
      <c r="I4" s="63">
        <f t="shared" si="0"/>
        <v>115266.8473986007</v>
      </c>
      <c r="J4" s="63">
        <f t="shared" si="0"/>
        <v>115736.45880305351</v>
      </c>
      <c r="K4" s="63">
        <f t="shared" si="0"/>
        <v>116207.98346249826</v>
      </c>
      <c r="L4" s="89" t="s">
        <v>222</v>
      </c>
      <c r="N4" s="70">
        <f>0.15</f>
        <v>0.15</v>
      </c>
      <c r="O4" s="61" t="s">
        <v>166</v>
      </c>
    </row>
    <row r="5" spans="1:15" s="60" customFormat="1" ht="28.9" x14ac:dyDescent="0.3">
      <c r="A5" s="105" t="s">
        <v>194</v>
      </c>
      <c r="B5" s="63">
        <f t="shared" ref="B5:K5" si="1">IF(AND(0&lt;(B3-B4)/B3,(B3-B4)/B3&lt;$N$4),B4,B3*(1-$N$5))</f>
        <v>112000</v>
      </c>
      <c r="C5" s="63">
        <f t="shared" si="1"/>
        <v>112000</v>
      </c>
      <c r="D5" s="63">
        <f t="shared" si="1"/>
        <v>113000</v>
      </c>
      <c r="E5" s="63">
        <f t="shared" si="1"/>
        <v>114000</v>
      </c>
      <c r="F5" s="63">
        <f t="shared" si="1"/>
        <v>114000</v>
      </c>
      <c r="G5" s="63">
        <f t="shared" si="1"/>
        <v>115000</v>
      </c>
      <c r="H5" s="63">
        <f t="shared" si="1"/>
        <v>114799.14148593046</v>
      </c>
      <c r="I5" s="63">
        <f t="shared" si="1"/>
        <v>115266.8473986007</v>
      </c>
      <c r="J5" s="63">
        <f t="shared" si="1"/>
        <v>115736.45880305351</v>
      </c>
      <c r="K5" s="63">
        <f t="shared" si="1"/>
        <v>116207.98346249826</v>
      </c>
      <c r="L5" s="89" t="s">
        <v>271</v>
      </c>
      <c r="N5" s="70">
        <f>0.07</f>
        <v>7.0000000000000007E-2</v>
      </c>
      <c r="O5" s="61" t="s">
        <v>270</v>
      </c>
    </row>
    <row r="6" spans="1:15" s="60" customFormat="1" ht="14.45" x14ac:dyDescent="0.3">
      <c r="A6" s="105" t="s">
        <v>171</v>
      </c>
      <c r="B6" s="63">
        <v>0</v>
      </c>
      <c r="C6" s="63">
        <v>0</v>
      </c>
      <c r="D6" s="63">
        <v>0</v>
      </c>
      <c r="E6" s="63">
        <v>0</v>
      </c>
      <c r="F6" s="63">
        <v>0</v>
      </c>
      <c r="G6" s="63">
        <v>0</v>
      </c>
      <c r="H6" s="63">
        <v>0</v>
      </c>
      <c r="I6" s="63">
        <v>0</v>
      </c>
      <c r="J6" s="63">
        <v>0</v>
      </c>
      <c r="K6" s="63">
        <v>0</v>
      </c>
      <c r="L6" s="120" t="s">
        <v>269</v>
      </c>
      <c r="N6" s="65">
        <v>0.05</v>
      </c>
      <c r="O6" s="61" t="s">
        <v>268</v>
      </c>
    </row>
    <row r="7" spans="1:15" s="60" customFormat="1" ht="14.45" x14ac:dyDescent="0.3">
      <c r="A7" s="105" t="s">
        <v>172</v>
      </c>
      <c r="B7" s="63">
        <v>0</v>
      </c>
      <c r="C7" s="63">
        <v>0</v>
      </c>
      <c r="D7" s="63">
        <v>0</v>
      </c>
      <c r="E7" s="63">
        <v>0</v>
      </c>
      <c r="F7" s="63">
        <v>0</v>
      </c>
      <c r="G7" s="63">
        <v>0</v>
      </c>
      <c r="H7" s="63">
        <v>0</v>
      </c>
      <c r="I7" s="63">
        <v>0</v>
      </c>
      <c r="J7" s="63">
        <v>0</v>
      </c>
      <c r="K7" s="63">
        <v>0</v>
      </c>
      <c r="L7" s="120" t="s">
        <v>267</v>
      </c>
      <c r="N7" s="86">
        <v>0.85099999999999998</v>
      </c>
      <c r="O7" s="61" t="s">
        <v>168</v>
      </c>
    </row>
    <row r="8" spans="1:15" s="60" customFormat="1" ht="43.15" x14ac:dyDescent="0.3">
      <c r="A8" s="105" t="s">
        <v>173</v>
      </c>
      <c r="B8" s="63">
        <v>15843</v>
      </c>
      <c r="C8" s="63">
        <v>15937.000000000002</v>
      </c>
      <c r="D8" s="63">
        <v>15936</v>
      </c>
      <c r="E8" s="63">
        <v>15946</v>
      </c>
      <c r="F8" s="63">
        <v>15971</v>
      </c>
      <c r="G8" s="63">
        <v>15957</v>
      </c>
      <c r="H8" s="67">
        <f>AVERAGE(E8:G8)</f>
        <v>15958</v>
      </c>
      <c r="I8" s="67">
        <f t="shared" ref="I8:K8" si="2">H8</f>
        <v>15958</v>
      </c>
      <c r="J8" s="67">
        <f t="shared" si="2"/>
        <v>15958</v>
      </c>
      <c r="K8" s="67">
        <f t="shared" si="2"/>
        <v>15958</v>
      </c>
      <c r="L8" s="89" t="s">
        <v>266</v>
      </c>
    </row>
    <row r="9" spans="1:15" s="60" customFormat="1" ht="28.9" x14ac:dyDescent="0.3">
      <c r="A9" s="105" t="s">
        <v>153</v>
      </c>
      <c r="B9" s="73">
        <v>0.34</v>
      </c>
      <c r="C9" s="59">
        <v>0.36</v>
      </c>
      <c r="D9" s="59">
        <v>0.37</v>
      </c>
      <c r="E9" s="59">
        <v>0.39</v>
      </c>
      <c r="F9" s="59">
        <v>0.41</v>
      </c>
      <c r="G9" s="59">
        <v>0.42</v>
      </c>
      <c r="H9" s="59">
        <v>0.44</v>
      </c>
      <c r="I9" s="59">
        <v>0.46</v>
      </c>
      <c r="J9" s="59">
        <v>0.48</v>
      </c>
      <c r="K9" s="59">
        <v>0.5</v>
      </c>
      <c r="L9" s="89" t="s">
        <v>248</v>
      </c>
      <c r="N9" s="66">
        <v>4.0741237836483535E-3</v>
      </c>
      <c r="O9" s="89" t="s">
        <v>206</v>
      </c>
    </row>
    <row r="10" spans="1:15" s="60" customFormat="1" ht="15.6" x14ac:dyDescent="0.3">
      <c r="A10" s="105" t="s">
        <v>174</v>
      </c>
      <c r="B10" s="63">
        <f t="shared" ref="B10:K10" si="3">B5*B9</f>
        <v>38080</v>
      </c>
      <c r="C10" s="63">
        <f t="shared" si="3"/>
        <v>40320</v>
      </c>
      <c r="D10" s="63">
        <f t="shared" si="3"/>
        <v>41810</v>
      </c>
      <c r="E10" s="63">
        <f t="shared" si="3"/>
        <v>44460</v>
      </c>
      <c r="F10" s="63">
        <f t="shared" si="3"/>
        <v>46740</v>
      </c>
      <c r="G10" s="63">
        <f t="shared" si="3"/>
        <v>48300</v>
      </c>
      <c r="H10" s="63">
        <f t="shared" si="3"/>
        <v>50511.622253809408</v>
      </c>
      <c r="I10" s="63">
        <f t="shared" si="3"/>
        <v>53022.749803356324</v>
      </c>
      <c r="J10" s="63">
        <f t="shared" si="3"/>
        <v>55553.500225465679</v>
      </c>
      <c r="K10" s="63">
        <f t="shared" si="3"/>
        <v>58103.991731249131</v>
      </c>
      <c r="L10" s="89" t="s">
        <v>207</v>
      </c>
      <c r="N10" s="68"/>
      <c r="O10" s="62"/>
    </row>
    <row r="11" spans="1:15" s="60" customFormat="1" ht="28.9" x14ac:dyDescent="0.3">
      <c r="A11" s="105" t="s">
        <v>175</v>
      </c>
      <c r="B11" s="63">
        <f t="shared" ref="B11:K11" si="4">MAX(B3-SUM(B6:B8,B10), B3*$N$6)</f>
        <v>64654.858228883648</v>
      </c>
      <c r="C11" s="63">
        <f t="shared" si="4"/>
        <v>62647.048660545261</v>
      </c>
      <c r="D11" s="63">
        <f t="shared" si="4"/>
        <v>61510.054139606014</v>
      </c>
      <c r="E11" s="63">
        <f t="shared" si="4"/>
        <v>59133.703999999998</v>
      </c>
      <c r="F11" s="63">
        <f t="shared" si="4"/>
        <v>57126.80799999999</v>
      </c>
      <c r="G11" s="63">
        <f t="shared" si="4"/>
        <v>55878.912000000011</v>
      </c>
      <c r="H11" s="63">
        <f t="shared" si="4"/>
        <v>53856.419809943676</v>
      </c>
      <c r="I11" s="63">
        <f t="shared" si="4"/>
        <v>51835.515450160965</v>
      </c>
      <c r="J11" s="63">
        <f t="shared" si="4"/>
        <v>49796.985447772531</v>
      </c>
      <c r="K11" s="63">
        <f t="shared" si="4"/>
        <v>47740.719728628799</v>
      </c>
      <c r="L11" s="89" t="s">
        <v>208</v>
      </c>
      <c r="N11" s="68"/>
      <c r="O11" s="62"/>
    </row>
    <row r="12" spans="1:15" s="60" customFormat="1" ht="43.9" x14ac:dyDescent="0.35">
      <c r="A12" s="105" t="s">
        <v>197</v>
      </c>
      <c r="B12" s="63">
        <f t="shared" ref="B12:K12" si="5">B6*$N$3+B11*$N$2</f>
        <v>28150.72527285594</v>
      </c>
      <c r="C12" s="63">
        <f t="shared" si="5"/>
        <v>27276.524986801407</v>
      </c>
      <c r="D12" s="63">
        <f t="shared" si="5"/>
        <v>26781.477572384458</v>
      </c>
      <c r="E12" s="63">
        <f t="shared" si="5"/>
        <v>25746.8147216</v>
      </c>
      <c r="F12" s="63">
        <f t="shared" si="5"/>
        <v>24873.012203199996</v>
      </c>
      <c r="G12" s="63">
        <f t="shared" si="5"/>
        <v>24329.678284800004</v>
      </c>
      <c r="H12" s="63">
        <f t="shared" si="5"/>
        <v>23449.085185249478</v>
      </c>
      <c r="I12" s="63">
        <f t="shared" si="5"/>
        <v>22569.183427000084</v>
      </c>
      <c r="J12" s="63">
        <f t="shared" si="5"/>
        <v>21681.607463960161</v>
      </c>
      <c r="K12" s="63">
        <f t="shared" si="5"/>
        <v>20786.309369844981</v>
      </c>
      <c r="L12" s="108" t="s">
        <v>209</v>
      </c>
    </row>
    <row r="13" spans="1:15" s="60" customFormat="1" ht="86.45" x14ac:dyDescent="0.3">
      <c r="A13" s="105"/>
      <c r="B13" s="146" t="s">
        <v>210</v>
      </c>
      <c r="C13" s="147"/>
      <c r="D13" s="147"/>
      <c r="E13" s="147"/>
      <c r="F13" s="147"/>
      <c r="G13" s="147"/>
      <c r="H13" s="147"/>
      <c r="I13" s="147"/>
      <c r="J13" s="148"/>
      <c r="K13" s="87">
        <v>0</v>
      </c>
      <c r="L13" s="108" t="s">
        <v>216</v>
      </c>
    </row>
    <row r="14" spans="1:15" s="60" customFormat="1"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row>
    <row r="15" spans="1:15"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5" s="60" customFormat="1" ht="30" x14ac:dyDescent="0.35">
      <c r="A16" s="105" t="s">
        <v>199</v>
      </c>
      <c r="B16" s="82">
        <f t="shared" ref="B16:K16" si="7">B12/B3</f>
        <v>0.23740288189822337</v>
      </c>
      <c r="C16" s="82">
        <f t="shared" si="7"/>
        <v>0.22939946363535646</v>
      </c>
      <c r="D16" s="82">
        <f t="shared" si="7"/>
        <v>0.2245712200156561</v>
      </c>
      <c r="E16" s="82">
        <f t="shared" si="7"/>
        <v>0.21538295528655482</v>
      </c>
      <c r="F16" s="82">
        <f t="shared" si="7"/>
        <v>0.20755563388809647</v>
      </c>
      <c r="G16" s="82">
        <f t="shared" si="7"/>
        <v>0.20251794721298658</v>
      </c>
      <c r="H16" s="82">
        <f t="shared" si="7"/>
        <v>0.19487955211578642</v>
      </c>
      <c r="I16" s="82">
        <f t="shared" si="7"/>
        <v>0.18680583594966765</v>
      </c>
      <c r="J16" s="82">
        <f t="shared" si="7"/>
        <v>0.17873116908212569</v>
      </c>
      <c r="K16" s="82">
        <f t="shared" si="7"/>
        <v>0.17065555537071961</v>
      </c>
      <c r="L16" s="89" t="s">
        <v>212</v>
      </c>
    </row>
    <row r="17" spans="1:15" s="60" customFormat="1" ht="30.6" thickBot="1" x14ac:dyDescent="0.4">
      <c r="A17" s="105" t="s">
        <v>200</v>
      </c>
      <c r="B17" s="81">
        <f t="shared" ref="B17:K17" si="8">B15*B16</f>
        <v>0</v>
      </c>
      <c r="C17" s="81">
        <f t="shared" si="8"/>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5" ht="43.9" thickBot="1" x14ac:dyDescent="0.35">
      <c r="A18" s="128" t="s">
        <v>201</v>
      </c>
      <c r="B18" s="84">
        <f t="shared" ref="B18:K18" si="9">B12*(B14/$N$7)-B17</f>
        <v>27026.019445268277</v>
      </c>
      <c r="C18" s="84">
        <f t="shared" si="9"/>
        <v>25096.967173519977</v>
      </c>
      <c r="D18" s="84">
        <f t="shared" si="9"/>
        <v>23571.476735271397</v>
      </c>
      <c r="E18" s="84">
        <f t="shared" si="9"/>
        <v>21632.165130368976</v>
      </c>
      <c r="F18" s="84">
        <f t="shared" si="9"/>
        <v>19904.255358847473</v>
      </c>
      <c r="G18" s="84">
        <f t="shared" si="9"/>
        <v>18497.416980335609</v>
      </c>
      <c r="H18" s="84">
        <f t="shared" si="9"/>
        <v>16918.611402753442</v>
      </c>
      <c r="I18" s="84">
        <f t="shared" si="9"/>
        <v>15382.052159412513</v>
      </c>
      <c r="J18" s="84">
        <f t="shared" si="9"/>
        <v>13910.878584397473</v>
      </c>
      <c r="K18" s="84">
        <f t="shared" si="9"/>
        <v>12481.555920083179</v>
      </c>
      <c r="L18" s="93" t="s">
        <v>214</v>
      </c>
      <c r="M18" s="60"/>
      <c r="N18" s="60"/>
      <c r="O18" s="60"/>
    </row>
    <row r="19" spans="1:15" x14ac:dyDescent="0.25">
      <c r="A19" s="85"/>
      <c r="B19" s="85"/>
      <c r="C19" s="85"/>
      <c r="D19" s="85"/>
      <c r="E19" s="85"/>
      <c r="F19" s="85"/>
      <c r="G19" s="85"/>
      <c r="H19" s="85"/>
      <c r="I19" s="85"/>
      <c r="J19" s="85"/>
      <c r="K19" s="85"/>
      <c r="L19" s="60"/>
      <c r="M19" s="60"/>
      <c r="N19" s="60"/>
      <c r="O19" s="60"/>
    </row>
  </sheetData>
  <mergeCells count="3">
    <mergeCell ref="B1:L1"/>
    <mergeCell ref="N1:O1"/>
    <mergeCell ref="B13:J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zoomScale="90" zoomScaleNormal="90" workbookViewId="0"/>
  </sheetViews>
  <sheetFormatPr defaultColWidth="9.140625" defaultRowHeight="15" x14ac:dyDescent="0.25"/>
  <cols>
    <col min="1" max="1" width="9.85546875" style="80" customWidth="1"/>
    <col min="2" max="2" width="45.85546875" style="80" customWidth="1"/>
    <col min="3" max="12" width="10.140625" style="80" customWidth="1"/>
    <col min="13" max="13" width="10.85546875" style="79" customWidth="1"/>
    <col min="14" max="15" width="9.140625" style="80"/>
    <col min="16" max="16" width="11.28515625" style="80" customWidth="1"/>
    <col min="17" max="17" width="11.5703125" style="48" bestFit="1" customWidth="1"/>
    <col min="18" max="92" width="9.140625" style="48"/>
    <col min="93" max="93" width="9.140625" style="48" customWidth="1"/>
    <col min="94" max="16384" width="9.140625" style="48"/>
  </cols>
  <sheetData>
    <row r="1" spans="1:17" s="40" customFormat="1" ht="15.6" x14ac:dyDescent="0.3">
      <c r="A1" s="37" t="s">
        <v>114</v>
      </c>
      <c r="B1" s="37"/>
      <c r="C1" s="38"/>
      <c r="D1" s="37"/>
      <c r="E1" s="37"/>
      <c r="F1" s="37"/>
      <c r="G1" s="37"/>
      <c r="H1" s="12"/>
      <c r="I1" s="37"/>
      <c r="J1" s="37"/>
      <c r="K1" s="37"/>
      <c r="L1" s="37"/>
      <c r="M1" s="37"/>
      <c r="N1" s="37"/>
      <c r="O1" s="37"/>
      <c r="P1" s="39"/>
    </row>
    <row r="2" spans="1:17" s="40" customFormat="1" ht="15.6" x14ac:dyDescent="0.3">
      <c r="A2" s="14" t="s">
        <v>157</v>
      </c>
      <c r="B2" s="41"/>
      <c r="C2" s="41"/>
      <c r="D2" s="41"/>
      <c r="E2" s="41"/>
      <c r="F2" s="41"/>
      <c r="G2" s="41"/>
      <c r="H2" s="12"/>
      <c r="I2" s="41"/>
      <c r="J2" s="41"/>
      <c r="K2" s="37"/>
      <c r="L2" s="37"/>
      <c r="M2" s="37"/>
      <c r="N2" s="37"/>
      <c r="O2" s="37"/>
      <c r="P2" s="39"/>
    </row>
    <row r="3" spans="1:17" s="40" customFormat="1" ht="15.6" x14ac:dyDescent="0.3">
      <c r="A3" s="42" t="s">
        <v>115</v>
      </c>
      <c r="B3" s="42"/>
      <c r="C3" s="42"/>
      <c r="D3" s="42"/>
      <c r="E3" s="42"/>
      <c r="F3" s="42"/>
      <c r="G3" s="42"/>
      <c r="H3" s="12"/>
      <c r="I3" s="37"/>
      <c r="J3" s="37"/>
      <c r="K3" s="37"/>
      <c r="L3" s="37"/>
      <c r="M3" s="37"/>
      <c r="N3" s="37"/>
      <c r="O3" s="37"/>
      <c r="P3" s="39"/>
    </row>
    <row r="4" spans="1:17" s="40" customFormat="1" ht="15.6" x14ac:dyDescent="0.25">
      <c r="A4" s="42"/>
      <c r="B4" s="42"/>
      <c r="C4" s="42"/>
      <c r="D4" s="42"/>
      <c r="E4" s="42"/>
      <c r="F4" s="133" t="s">
        <v>279</v>
      </c>
      <c r="G4" s="42"/>
      <c r="H4" s="12"/>
      <c r="I4" s="37"/>
      <c r="J4" s="37"/>
      <c r="K4" s="37"/>
      <c r="L4" s="37"/>
      <c r="M4" s="37"/>
      <c r="N4" s="37"/>
      <c r="O4" s="37"/>
      <c r="P4" s="39"/>
      <c r="Q4" s="126"/>
    </row>
    <row r="5" spans="1:17" s="40" customFormat="1" ht="15.6" x14ac:dyDescent="0.25">
      <c r="A5" s="42"/>
      <c r="B5" s="42"/>
      <c r="C5" s="42"/>
      <c r="D5" s="42"/>
      <c r="E5" s="42"/>
      <c r="F5" s="134" t="s">
        <v>165</v>
      </c>
      <c r="G5" s="42"/>
      <c r="H5" s="12"/>
      <c r="I5" s="37"/>
      <c r="J5" s="37"/>
      <c r="K5" s="37"/>
      <c r="L5" s="37"/>
      <c r="M5" s="37"/>
      <c r="N5" s="37"/>
      <c r="O5" s="37"/>
      <c r="P5" s="39"/>
      <c r="Q5" s="126"/>
    </row>
    <row r="6" spans="1:17" s="45" customFormat="1" x14ac:dyDescent="0.3">
      <c r="A6" s="43"/>
      <c r="B6" s="43"/>
      <c r="C6" s="43"/>
      <c r="D6" s="43"/>
      <c r="E6" s="43"/>
      <c r="F6" s="43"/>
      <c r="G6" s="12"/>
      <c r="H6" s="43"/>
      <c r="I6" s="43"/>
      <c r="J6" s="43"/>
      <c r="K6" s="43"/>
      <c r="L6" s="43"/>
      <c r="M6" s="44"/>
    </row>
    <row r="7" spans="1:17" ht="56.25" customHeight="1" x14ac:dyDescent="0.25">
      <c r="A7" s="46" t="s">
        <v>116</v>
      </c>
      <c r="B7" s="47" t="s">
        <v>39</v>
      </c>
      <c r="C7" s="20">
        <v>2014</v>
      </c>
      <c r="D7" s="20">
        <v>2015</v>
      </c>
      <c r="E7" s="20">
        <v>2016</v>
      </c>
      <c r="F7" s="20">
        <v>2017</v>
      </c>
      <c r="G7" s="20">
        <v>2018</v>
      </c>
      <c r="H7" s="20">
        <v>2019</v>
      </c>
      <c r="I7" s="20">
        <v>2020</v>
      </c>
      <c r="J7" s="20">
        <v>2021</v>
      </c>
      <c r="K7" s="20">
        <v>2022</v>
      </c>
      <c r="L7" s="20">
        <v>2013</v>
      </c>
      <c r="M7" s="20">
        <v>2024</v>
      </c>
      <c r="N7" s="20">
        <v>2025</v>
      </c>
      <c r="O7" s="20">
        <v>2026</v>
      </c>
      <c r="P7" s="78" t="s">
        <v>40</v>
      </c>
      <c r="Q7" s="69" t="s">
        <v>154</v>
      </c>
    </row>
    <row r="8" spans="1:17" ht="13.15" x14ac:dyDescent="0.25">
      <c r="A8" s="49"/>
      <c r="B8" s="35" t="s">
        <v>113</v>
      </c>
      <c r="C8" s="50">
        <v>1118</v>
      </c>
      <c r="D8" s="50">
        <v>1118</v>
      </c>
      <c r="E8" s="50">
        <v>1116</v>
      </c>
      <c r="F8" s="50">
        <v>1122</v>
      </c>
      <c r="G8" s="50">
        <v>1128</v>
      </c>
      <c r="H8" s="50">
        <v>1132</v>
      </c>
      <c r="I8" s="50">
        <v>1137</v>
      </c>
      <c r="J8" s="50">
        <v>1144</v>
      </c>
      <c r="K8" s="50">
        <v>1153</v>
      </c>
      <c r="L8" s="50">
        <v>1161</v>
      </c>
      <c r="M8" s="50">
        <v>1166</v>
      </c>
      <c r="N8" s="50">
        <v>1170</v>
      </c>
      <c r="O8" s="50">
        <v>1175</v>
      </c>
      <c r="P8" s="51">
        <v>4.1524955548901676E-3</v>
      </c>
      <c r="Q8" s="71">
        <f>SUM(C8:O8)</f>
        <v>14840</v>
      </c>
    </row>
    <row r="9" spans="1:17" ht="13.15" x14ac:dyDescent="0.25">
      <c r="A9" s="49"/>
      <c r="B9" s="35" t="s">
        <v>117</v>
      </c>
      <c r="C9" s="50">
        <v>1491</v>
      </c>
      <c r="D9" s="50">
        <v>1491</v>
      </c>
      <c r="E9" s="50">
        <v>1487</v>
      </c>
      <c r="F9" s="50">
        <v>1496</v>
      </c>
      <c r="G9" s="50">
        <v>1504</v>
      </c>
      <c r="H9" s="50">
        <v>1509</v>
      </c>
      <c r="I9" s="50">
        <v>1517</v>
      </c>
      <c r="J9" s="50">
        <v>1526</v>
      </c>
      <c r="K9" s="50">
        <v>1537</v>
      </c>
      <c r="L9" s="50">
        <v>1548</v>
      </c>
      <c r="M9" s="50">
        <v>1554</v>
      </c>
      <c r="N9" s="50">
        <v>1561</v>
      </c>
      <c r="O9" s="50">
        <v>1566</v>
      </c>
      <c r="P9" s="51">
        <v>4.0981714474523923E-3</v>
      </c>
      <c r="Q9" s="71">
        <f t="shared" ref="Q9:Q59" si="0">SUM(C9:O9)</f>
        <v>19787</v>
      </c>
    </row>
    <row r="10" spans="1:17" ht="13.15" x14ac:dyDescent="0.25">
      <c r="A10" s="49"/>
      <c r="B10" s="35" t="s">
        <v>118</v>
      </c>
      <c r="C10" s="50">
        <v>35</v>
      </c>
      <c r="D10" s="50">
        <v>35</v>
      </c>
      <c r="E10" s="50">
        <v>35</v>
      </c>
      <c r="F10" s="50">
        <v>35</v>
      </c>
      <c r="G10" s="50">
        <v>35</v>
      </c>
      <c r="H10" s="50">
        <v>35</v>
      </c>
      <c r="I10" s="50">
        <v>35</v>
      </c>
      <c r="J10" s="50">
        <v>36</v>
      </c>
      <c r="K10" s="50">
        <v>36</v>
      </c>
      <c r="L10" s="50">
        <v>36</v>
      </c>
      <c r="M10" s="50">
        <v>36</v>
      </c>
      <c r="N10" s="50">
        <v>37</v>
      </c>
      <c r="O10" s="50">
        <v>37</v>
      </c>
      <c r="P10" s="51">
        <v>4.6415597509290585E-3</v>
      </c>
      <c r="Q10" s="71">
        <f t="shared" si="0"/>
        <v>463</v>
      </c>
    </row>
    <row r="11" spans="1:17" ht="13.15" x14ac:dyDescent="0.25">
      <c r="A11" s="49"/>
      <c r="B11" s="35" t="s">
        <v>119</v>
      </c>
      <c r="C11" s="50">
        <v>36753</v>
      </c>
      <c r="D11" s="50">
        <v>36442.957525907826</v>
      </c>
      <c r="E11" s="50">
        <v>36461.563945028814</v>
      </c>
      <c r="F11" s="50">
        <v>36733.569625949669</v>
      </c>
      <c r="G11" s="50">
        <v>36986.249324615885</v>
      </c>
      <c r="H11" s="50">
        <v>37180.159397942894</v>
      </c>
      <c r="I11" s="50">
        <v>37400.288611957585</v>
      </c>
      <c r="J11" s="50">
        <v>37689.640777266191</v>
      </c>
      <c r="K11" s="50">
        <v>37999.383069383039</v>
      </c>
      <c r="L11" s="50">
        <v>38342.131422687969</v>
      </c>
      <c r="M11" s="50">
        <v>38592.951856530271</v>
      </c>
      <c r="N11" s="50">
        <v>38792.779598847788</v>
      </c>
      <c r="O11" s="50">
        <v>39012.410656314089</v>
      </c>
      <c r="P11" s="51">
        <v>4.98404276615938E-3</v>
      </c>
      <c r="Q11" s="71">
        <f t="shared" si="0"/>
        <v>488387.08581243199</v>
      </c>
    </row>
    <row r="12" spans="1:17" ht="13.15" x14ac:dyDescent="0.25">
      <c r="A12" s="49"/>
      <c r="B12" s="35" t="s">
        <v>10</v>
      </c>
      <c r="C12" s="50">
        <v>3313</v>
      </c>
      <c r="D12" s="50">
        <v>3313</v>
      </c>
      <c r="E12" s="50">
        <v>3305</v>
      </c>
      <c r="F12" s="50">
        <v>3324</v>
      </c>
      <c r="G12" s="50">
        <v>3341</v>
      </c>
      <c r="H12" s="50">
        <v>3354</v>
      </c>
      <c r="I12" s="50">
        <v>3370</v>
      </c>
      <c r="J12" s="50">
        <v>3390</v>
      </c>
      <c r="K12" s="50">
        <v>3415</v>
      </c>
      <c r="L12" s="50">
        <v>3438</v>
      </c>
      <c r="M12" s="50">
        <v>3454</v>
      </c>
      <c r="N12" s="50">
        <v>3467</v>
      </c>
      <c r="O12" s="50">
        <v>3480</v>
      </c>
      <c r="P12" s="51">
        <v>4.1065898989298688E-3</v>
      </c>
      <c r="Q12" s="71">
        <f t="shared" si="0"/>
        <v>43964</v>
      </c>
    </row>
    <row r="13" spans="1:17" ht="13.15" x14ac:dyDescent="0.25">
      <c r="A13" s="52" t="s">
        <v>120</v>
      </c>
      <c r="B13" s="53"/>
      <c r="C13" s="50">
        <v>42710</v>
      </c>
      <c r="D13" s="50">
        <v>42399.957525907826</v>
      </c>
      <c r="E13" s="50">
        <v>42404.563945028814</v>
      </c>
      <c r="F13" s="50">
        <v>42710.569625949669</v>
      </c>
      <c r="G13" s="50">
        <v>42994.249324615885</v>
      </c>
      <c r="H13" s="50">
        <v>43210.159397942894</v>
      </c>
      <c r="I13" s="50">
        <v>43459.288611957585</v>
      </c>
      <c r="J13" s="50">
        <v>43785.640777266191</v>
      </c>
      <c r="K13" s="50">
        <v>44140.383069383039</v>
      </c>
      <c r="L13" s="50">
        <v>44525.131422687969</v>
      </c>
      <c r="M13" s="50">
        <v>44802.951856530271</v>
      </c>
      <c r="N13" s="50">
        <v>45027.779598847788</v>
      </c>
      <c r="O13" s="50">
        <v>45270.410656314089</v>
      </c>
      <c r="P13" s="51">
        <v>4.8635009319544231E-3</v>
      </c>
      <c r="Q13" s="71">
        <f t="shared" si="0"/>
        <v>567441.08581243199</v>
      </c>
    </row>
    <row r="14" spans="1:17" ht="13.15" x14ac:dyDescent="0.25">
      <c r="A14" s="49"/>
      <c r="B14" s="35" t="s">
        <v>121</v>
      </c>
      <c r="C14" s="50">
        <v>296</v>
      </c>
      <c r="D14" s="50">
        <v>571</v>
      </c>
      <c r="E14" s="50">
        <v>571</v>
      </c>
      <c r="F14" s="50">
        <v>571</v>
      </c>
      <c r="G14" s="50">
        <v>571</v>
      </c>
      <c r="H14" s="50">
        <v>571</v>
      </c>
      <c r="I14" s="50">
        <v>571</v>
      </c>
      <c r="J14" s="50">
        <v>571</v>
      </c>
      <c r="K14" s="50">
        <v>571</v>
      </c>
      <c r="L14" s="50">
        <v>571</v>
      </c>
      <c r="M14" s="50">
        <v>571</v>
      </c>
      <c r="N14" s="50">
        <v>571</v>
      </c>
      <c r="O14" s="50">
        <v>571</v>
      </c>
      <c r="P14" s="51">
        <v>5.6279131694070728E-2</v>
      </c>
      <c r="Q14" s="71">
        <f t="shared" si="0"/>
        <v>7148</v>
      </c>
    </row>
    <row r="15" spans="1:17" ht="13.15" x14ac:dyDescent="0.25">
      <c r="A15" s="49"/>
      <c r="B15" s="35" t="s">
        <v>122</v>
      </c>
      <c r="C15" s="50">
        <v>1060</v>
      </c>
      <c r="D15" s="50">
        <v>1060</v>
      </c>
      <c r="E15" s="50">
        <v>1057</v>
      </c>
      <c r="F15" s="50">
        <v>1063</v>
      </c>
      <c r="G15" s="50">
        <v>1068</v>
      </c>
      <c r="H15" s="50">
        <v>1073</v>
      </c>
      <c r="I15" s="50">
        <v>1078</v>
      </c>
      <c r="J15" s="50">
        <v>1084</v>
      </c>
      <c r="K15" s="50">
        <v>1092</v>
      </c>
      <c r="L15" s="50">
        <v>1100</v>
      </c>
      <c r="M15" s="50">
        <v>1105</v>
      </c>
      <c r="N15" s="50">
        <v>1109</v>
      </c>
      <c r="O15" s="50">
        <v>1113</v>
      </c>
      <c r="P15" s="51">
        <v>4.0741237836483535E-3</v>
      </c>
      <c r="Q15" s="71">
        <f t="shared" si="0"/>
        <v>14062</v>
      </c>
    </row>
    <row r="16" spans="1:17" ht="13.15" x14ac:dyDescent="0.25">
      <c r="A16" s="49"/>
      <c r="B16" s="35" t="s">
        <v>123</v>
      </c>
      <c r="C16" s="50">
        <v>226</v>
      </c>
      <c r="D16" s="50">
        <v>226</v>
      </c>
      <c r="E16" s="50">
        <v>226</v>
      </c>
      <c r="F16" s="50">
        <v>227</v>
      </c>
      <c r="G16" s="50">
        <v>228</v>
      </c>
      <c r="H16" s="50">
        <v>229</v>
      </c>
      <c r="I16" s="50">
        <v>230</v>
      </c>
      <c r="J16" s="50">
        <v>232</v>
      </c>
      <c r="K16" s="50">
        <v>233</v>
      </c>
      <c r="L16" s="50">
        <v>235</v>
      </c>
      <c r="M16" s="50">
        <v>236</v>
      </c>
      <c r="N16" s="50">
        <v>237</v>
      </c>
      <c r="O16" s="50">
        <v>238</v>
      </c>
      <c r="P16" s="51">
        <v>4.3206132508826212E-3</v>
      </c>
      <c r="Q16" s="71">
        <f t="shared" si="0"/>
        <v>3003</v>
      </c>
    </row>
    <row r="17" spans="1:17" ht="13.15" x14ac:dyDescent="0.25">
      <c r="A17" s="49"/>
      <c r="B17" s="35" t="s">
        <v>124</v>
      </c>
      <c r="C17" s="50">
        <v>48172</v>
      </c>
      <c r="D17" s="50">
        <v>47765.628654478052</v>
      </c>
      <c r="E17" s="50">
        <v>47504.211906940109</v>
      </c>
      <c r="F17" s="50">
        <v>47721.253137072112</v>
      </c>
      <c r="G17" s="50">
        <v>47927.863939966112</v>
      </c>
      <c r="H17" s="50">
        <v>48093.607417388601</v>
      </c>
      <c r="I17" s="50">
        <v>48307.907419935698</v>
      </c>
      <c r="J17" s="50">
        <v>48549.812045192099</v>
      </c>
      <c r="K17" s="50">
        <v>48944.59678086132</v>
      </c>
      <c r="L17" s="50">
        <v>49237.2534121387</v>
      </c>
      <c r="M17" s="50">
        <v>49417.164450401877</v>
      </c>
      <c r="N17" s="50">
        <v>49602.14624405111</v>
      </c>
      <c r="O17" s="50">
        <v>49746.391477662488</v>
      </c>
      <c r="P17" s="51">
        <v>2.6835934463262934E-3</v>
      </c>
      <c r="Q17" s="71">
        <f t="shared" si="0"/>
        <v>630989.83688608825</v>
      </c>
    </row>
    <row r="18" spans="1:17" ht="13.15" x14ac:dyDescent="0.25">
      <c r="A18" s="49"/>
      <c r="B18" s="35" t="s">
        <v>61</v>
      </c>
      <c r="C18" s="50">
        <v>1635</v>
      </c>
      <c r="D18" s="50">
        <v>1635</v>
      </c>
      <c r="E18" s="50">
        <v>1631</v>
      </c>
      <c r="F18" s="50">
        <v>1640</v>
      </c>
      <c r="G18" s="50">
        <v>1649</v>
      </c>
      <c r="H18" s="50">
        <v>1655</v>
      </c>
      <c r="I18" s="50">
        <v>1663</v>
      </c>
      <c r="J18" s="50">
        <v>1673</v>
      </c>
      <c r="K18" s="50">
        <v>1685</v>
      </c>
      <c r="L18" s="50">
        <v>1697</v>
      </c>
      <c r="M18" s="50">
        <v>1704</v>
      </c>
      <c r="N18" s="50">
        <v>1711</v>
      </c>
      <c r="O18" s="50">
        <v>1717</v>
      </c>
      <c r="P18" s="51">
        <v>4.0863077445454365E-3</v>
      </c>
      <c r="Q18" s="71">
        <f t="shared" si="0"/>
        <v>21695</v>
      </c>
    </row>
    <row r="19" spans="1:17" ht="13.15" x14ac:dyDescent="0.25">
      <c r="A19" s="52" t="s">
        <v>125</v>
      </c>
      <c r="B19" s="35"/>
      <c r="C19" s="50">
        <v>94099</v>
      </c>
      <c r="D19" s="50">
        <v>93657.586180385872</v>
      </c>
      <c r="E19" s="50">
        <v>93393.775851968923</v>
      </c>
      <c r="F19" s="50">
        <v>93932.822763021773</v>
      </c>
      <c r="G19" s="50">
        <v>94438.113264582003</v>
      </c>
      <c r="H19" s="50">
        <v>94831.766815331503</v>
      </c>
      <c r="I19" s="50">
        <v>95309.196031893283</v>
      </c>
      <c r="J19" s="50">
        <v>95895.45282245829</v>
      </c>
      <c r="K19" s="50">
        <v>96665.979850244359</v>
      </c>
      <c r="L19" s="50">
        <v>97365.384834826662</v>
      </c>
      <c r="M19" s="50">
        <v>97836.116306932148</v>
      </c>
      <c r="N19" s="50">
        <v>98257.925842898898</v>
      </c>
      <c r="O19" s="50">
        <v>98655.802133976569</v>
      </c>
      <c r="P19" s="51">
        <v>3.9485773831287041E-3</v>
      </c>
      <c r="Q19" s="71">
        <f t="shared" si="0"/>
        <v>1244338.9226985201</v>
      </c>
    </row>
    <row r="20" spans="1:17" ht="13.15" x14ac:dyDescent="0.25">
      <c r="A20" s="49"/>
      <c r="B20" s="35" t="s">
        <v>126</v>
      </c>
      <c r="C20" s="50">
        <v>572</v>
      </c>
      <c r="D20" s="50">
        <v>1104</v>
      </c>
      <c r="E20" s="50">
        <v>1104</v>
      </c>
      <c r="F20" s="50">
        <v>1104</v>
      </c>
      <c r="G20" s="50">
        <v>1104</v>
      </c>
      <c r="H20" s="50">
        <v>1104</v>
      </c>
      <c r="I20" s="50">
        <v>1104</v>
      </c>
      <c r="J20" s="50">
        <v>1104</v>
      </c>
      <c r="K20" s="50">
        <v>1104</v>
      </c>
      <c r="L20" s="50">
        <v>1104</v>
      </c>
      <c r="M20" s="50">
        <v>1104</v>
      </c>
      <c r="N20" s="50">
        <v>1104</v>
      </c>
      <c r="O20" s="50">
        <v>1104</v>
      </c>
      <c r="P20" s="51">
        <v>5.6325475208152342E-2</v>
      </c>
      <c r="Q20" s="71">
        <f t="shared" si="0"/>
        <v>13820</v>
      </c>
    </row>
    <row r="21" spans="1:17" ht="13.15" x14ac:dyDescent="0.25">
      <c r="A21" s="49"/>
      <c r="B21" s="35" t="s">
        <v>127</v>
      </c>
      <c r="C21" s="50">
        <v>10027</v>
      </c>
      <c r="D21" s="50">
        <v>9942.4138196141212</v>
      </c>
      <c r="E21" s="50">
        <v>9940.224148031084</v>
      </c>
      <c r="F21" s="50">
        <v>9998.1772369782284</v>
      </c>
      <c r="G21" s="50">
        <v>10028.886735418</v>
      </c>
      <c r="H21" s="50">
        <v>10047.233184668516</v>
      </c>
      <c r="I21" s="50">
        <v>10075.803968106709</v>
      </c>
      <c r="J21" s="50">
        <v>10110.547177541706</v>
      </c>
      <c r="K21" s="50">
        <v>10145.020149755632</v>
      </c>
      <c r="L21" s="50">
        <v>10184.615165173322</v>
      </c>
      <c r="M21" s="50">
        <v>10200.883693067844</v>
      </c>
      <c r="N21" s="50">
        <v>10204.074157101102</v>
      </c>
      <c r="O21" s="50">
        <v>10207.197866023418</v>
      </c>
      <c r="P21" s="51">
        <v>1.4854096310927822E-3</v>
      </c>
      <c r="Q21" s="71">
        <f t="shared" si="0"/>
        <v>131112.0773014797</v>
      </c>
    </row>
    <row r="22" spans="1:17" ht="13.15" x14ac:dyDescent="0.25">
      <c r="A22" s="52" t="s">
        <v>128</v>
      </c>
      <c r="B22" s="35"/>
      <c r="C22" s="50">
        <v>10599</v>
      </c>
      <c r="D22" s="50">
        <v>11046.413819614121</v>
      </c>
      <c r="E22" s="50">
        <v>11044.224148031084</v>
      </c>
      <c r="F22" s="50">
        <v>11102.177236978228</v>
      </c>
      <c r="G22" s="50">
        <v>11132.886735418</v>
      </c>
      <c r="H22" s="50">
        <v>11151.233184668516</v>
      </c>
      <c r="I22" s="50">
        <v>11179.803968106709</v>
      </c>
      <c r="J22" s="50">
        <v>11214.547177541706</v>
      </c>
      <c r="K22" s="50">
        <v>11249.020149755632</v>
      </c>
      <c r="L22" s="50">
        <v>11288.615165173322</v>
      </c>
      <c r="M22" s="50">
        <v>11304.883693067844</v>
      </c>
      <c r="N22" s="50">
        <v>11308.074157101102</v>
      </c>
      <c r="O22" s="50">
        <v>11311.197866023418</v>
      </c>
      <c r="P22" s="51">
        <v>5.4341734794380869E-3</v>
      </c>
      <c r="Q22" s="71">
        <f t="shared" si="0"/>
        <v>144932.0773014797</v>
      </c>
    </row>
    <row r="23" spans="1:17" ht="13.15" x14ac:dyDescent="0.25">
      <c r="A23" s="52" t="s">
        <v>129</v>
      </c>
      <c r="B23" s="35"/>
      <c r="C23" s="50">
        <v>61988</v>
      </c>
      <c r="D23" s="50">
        <v>62304.042474092174</v>
      </c>
      <c r="E23" s="50">
        <v>62033.436054971193</v>
      </c>
      <c r="F23" s="50">
        <v>62324.430374050338</v>
      </c>
      <c r="G23" s="50">
        <v>62576.750675384115</v>
      </c>
      <c r="H23" s="50">
        <v>62772.840602057113</v>
      </c>
      <c r="I23" s="50">
        <v>63029.711388042408</v>
      </c>
      <c r="J23" s="50">
        <v>63324.359222733809</v>
      </c>
      <c r="K23" s="50">
        <v>63774.616930616954</v>
      </c>
      <c r="L23" s="50">
        <v>64128.868577312023</v>
      </c>
      <c r="M23" s="50">
        <v>64338.048143469721</v>
      </c>
      <c r="N23" s="50">
        <v>64538.220401152212</v>
      </c>
      <c r="O23" s="50">
        <v>64696.589343685904</v>
      </c>
      <c r="P23" s="51">
        <v>3.570330772187047E-3</v>
      </c>
      <c r="Q23" s="71">
        <f t="shared" si="0"/>
        <v>821829.91418756801</v>
      </c>
    </row>
    <row r="24" spans="1:17" ht="13.15" x14ac:dyDescent="0.25">
      <c r="A24" s="52" t="s">
        <v>130</v>
      </c>
      <c r="B24" s="35"/>
      <c r="C24" s="50">
        <v>104698</v>
      </c>
      <c r="D24" s="50">
        <v>104704</v>
      </c>
      <c r="E24" s="50">
        <v>104438</v>
      </c>
      <c r="F24" s="50">
        <v>105035</v>
      </c>
      <c r="G24" s="50">
        <v>105571</v>
      </c>
      <c r="H24" s="50">
        <v>105983</v>
      </c>
      <c r="I24" s="50">
        <v>106489</v>
      </c>
      <c r="J24" s="50">
        <v>107110</v>
      </c>
      <c r="K24" s="50">
        <v>107915</v>
      </c>
      <c r="L24" s="50">
        <v>108654</v>
      </c>
      <c r="M24" s="50">
        <v>109141</v>
      </c>
      <c r="N24" s="50">
        <v>109566</v>
      </c>
      <c r="O24" s="50">
        <v>109967</v>
      </c>
      <c r="P24" s="51">
        <v>4.1000745081622991E-3</v>
      </c>
      <c r="Q24" s="71">
        <f t="shared" si="0"/>
        <v>1389271</v>
      </c>
    </row>
    <row r="25" spans="1:17" ht="13.15" x14ac:dyDescent="0.25">
      <c r="A25" s="49"/>
      <c r="B25" s="35" t="s">
        <v>112</v>
      </c>
      <c r="C25" s="50">
        <v>522</v>
      </c>
      <c r="D25" s="50">
        <v>531</v>
      </c>
      <c r="E25" s="50">
        <v>536</v>
      </c>
      <c r="F25" s="50">
        <v>542</v>
      </c>
      <c r="G25" s="50">
        <v>547</v>
      </c>
      <c r="H25" s="50">
        <v>552</v>
      </c>
      <c r="I25" s="50">
        <v>557</v>
      </c>
      <c r="J25" s="50">
        <v>562</v>
      </c>
      <c r="K25" s="50">
        <v>568</v>
      </c>
      <c r="L25" s="50">
        <v>575</v>
      </c>
      <c r="M25" s="50">
        <v>581</v>
      </c>
      <c r="N25" s="50">
        <v>586</v>
      </c>
      <c r="O25" s="50">
        <v>592</v>
      </c>
      <c r="P25" s="51">
        <v>1.0541764210193927E-2</v>
      </c>
      <c r="Q25" s="71">
        <f t="shared" si="0"/>
        <v>7251</v>
      </c>
    </row>
    <row r="26" spans="1:17" ht="13.15" x14ac:dyDescent="0.25">
      <c r="A26" s="49"/>
      <c r="B26" s="35" t="s">
        <v>33</v>
      </c>
      <c r="C26" s="50">
        <v>2095</v>
      </c>
      <c r="D26" s="50">
        <v>2134</v>
      </c>
      <c r="E26" s="50">
        <v>2154</v>
      </c>
      <c r="F26" s="50">
        <v>2178</v>
      </c>
      <c r="G26" s="50">
        <v>2196</v>
      </c>
      <c r="H26" s="50">
        <v>2215</v>
      </c>
      <c r="I26" s="50">
        <v>2236</v>
      </c>
      <c r="J26" s="50">
        <v>2258</v>
      </c>
      <c r="K26" s="50">
        <v>2282</v>
      </c>
      <c r="L26" s="50">
        <v>2308</v>
      </c>
      <c r="M26" s="50">
        <v>2332</v>
      </c>
      <c r="N26" s="50">
        <v>2354</v>
      </c>
      <c r="O26" s="50">
        <v>2378</v>
      </c>
      <c r="P26" s="51">
        <v>1.0614795156410173E-2</v>
      </c>
      <c r="Q26" s="71">
        <f t="shared" si="0"/>
        <v>29120</v>
      </c>
    </row>
    <row r="27" spans="1:17" ht="13.15" x14ac:dyDescent="0.25">
      <c r="A27" s="52" t="s">
        <v>131</v>
      </c>
      <c r="B27" s="35"/>
      <c r="C27" s="50">
        <v>2617</v>
      </c>
      <c r="D27" s="50">
        <v>2665</v>
      </c>
      <c r="E27" s="50">
        <v>2690</v>
      </c>
      <c r="F27" s="50">
        <v>2720</v>
      </c>
      <c r="G27" s="50">
        <v>2743</v>
      </c>
      <c r="H27" s="50">
        <v>2767</v>
      </c>
      <c r="I27" s="50">
        <v>2793</v>
      </c>
      <c r="J27" s="50">
        <v>2820</v>
      </c>
      <c r="K27" s="50">
        <v>2850</v>
      </c>
      <c r="L27" s="50">
        <v>2883</v>
      </c>
      <c r="M27" s="50">
        <v>2913</v>
      </c>
      <c r="N27" s="50">
        <v>2940</v>
      </c>
      <c r="O27" s="50">
        <v>2970</v>
      </c>
      <c r="P27" s="51">
        <v>1.0600232670342269E-2</v>
      </c>
      <c r="Q27" s="71">
        <f t="shared" si="0"/>
        <v>36371</v>
      </c>
    </row>
    <row r="28" spans="1:17" ht="13.15" x14ac:dyDescent="0.25">
      <c r="A28" s="49"/>
      <c r="B28" s="35" t="s">
        <v>85</v>
      </c>
      <c r="C28" s="50">
        <v>193</v>
      </c>
      <c r="D28" s="50">
        <v>196</v>
      </c>
      <c r="E28" s="50">
        <v>198</v>
      </c>
      <c r="F28" s="50">
        <v>200</v>
      </c>
      <c r="G28" s="50">
        <v>202</v>
      </c>
      <c r="H28" s="50">
        <v>204</v>
      </c>
      <c r="I28" s="50">
        <v>206</v>
      </c>
      <c r="J28" s="50">
        <v>208</v>
      </c>
      <c r="K28" s="50">
        <v>210</v>
      </c>
      <c r="L28" s="50">
        <v>213</v>
      </c>
      <c r="M28" s="50">
        <v>215</v>
      </c>
      <c r="N28" s="50">
        <v>217</v>
      </c>
      <c r="O28" s="50">
        <v>219</v>
      </c>
      <c r="P28" s="51">
        <v>1.0587449638950197E-2</v>
      </c>
      <c r="Q28" s="71">
        <f t="shared" si="0"/>
        <v>2681</v>
      </c>
    </row>
    <row r="29" spans="1:17" ht="13.15" x14ac:dyDescent="0.25">
      <c r="A29" s="49"/>
      <c r="B29" s="35" t="s">
        <v>0</v>
      </c>
      <c r="C29" s="50">
        <v>2725</v>
      </c>
      <c r="D29" s="50">
        <v>2761</v>
      </c>
      <c r="E29" s="50">
        <v>2788</v>
      </c>
      <c r="F29" s="50">
        <v>2819</v>
      </c>
      <c r="G29" s="50">
        <v>2843</v>
      </c>
      <c r="H29" s="50">
        <v>2871</v>
      </c>
      <c r="I29" s="50">
        <v>2901</v>
      </c>
      <c r="J29" s="50">
        <v>2932</v>
      </c>
      <c r="K29" s="50">
        <v>2966</v>
      </c>
      <c r="L29" s="50">
        <v>2999</v>
      </c>
      <c r="M29" s="50">
        <v>3031</v>
      </c>
      <c r="N29" s="50">
        <v>3061</v>
      </c>
      <c r="O29" s="50">
        <v>3090</v>
      </c>
      <c r="P29" s="51">
        <v>1.0530279114037588E-2</v>
      </c>
      <c r="Q29" s="71">
        <f t="shared" si="0"/>
        <v>37787</v>
      </c>
    </row>
    <row r="30" spans="1:17" ht="13.15" x14ac:dyDescent="0.25">
      <c r="A30" s="49"/>
      <c r="B30" s="35" t="s">
        <v>110</v>
      </c>
      <c r="C30" s="50">
        <v>817</v>
      </c>
      <c r="D30" s="50">
        <v>828</v>
      </c>
      <c r="E30" s="50">
        <v>836</v>
      </c>
      <c r="F30" s="50">
        <v>846</v>
      </c>
      <c r="G30" s="50">
        <v>853</v>
      </c>
      <c r="H30" s="50">
        <v>861</v>
      </c>
      <c r="I30" s="50">
        <v>870</v>
      </c>
      <c r="J30" s="50">
        <v>880</v>
      </c>
      <c r="K30" s="50">
        <v>890</v>
      </c>
      <c r="L30" s="50">
        <v>900</v>
      </c>
      <c r="M30" s="50">
        <v>909</v>
      </c>
      <c r="N30" s="50">
        <v>918</v>
      </c>
      <c r="O30" s="50">
        <v>927</v>
      </c>
      <c r="P30" s="51">
        <v>1.0581801295719506E-2</v>
      </c>
      <c r="Q30" s="71">
        <f t="shared" si="0"/>
        <v>11335</v>
      </c>
    </row>
    <row r="31" spans="1:17" ht="13.15" x14ac:dyDescent="0.25">
      <c r="A31" s="49"/>
      <c r="B31" s="35" t="s">
        <v>111</v>
      </c>
      <c r="C31" s="50">
        <v>1301</v>
      </c>
      <c r="D31" s="50">
        <v>1318</v>
      </c>
      <c r="E31" s="50">
        <v>1331</v>
      </c>
      <c r="F31" s="50">
        <v>1346</v>
      </c>
      <c r="G31" s="50">
        <v>1357</v>
      </c>
      <c r="H31" s="50">
        <v>1371</v>
      </c>
      <c r="I31" s="50">
        <v>1385</v>
      </c>
      <c r="J31" s="50">
        <v>1400</v>
      </c>
      <c r="K31" s="50">
        <v>1416</v>
      </c>
      <c r="L31" s="50">
        <v>1432</v>
      </c>
      <c r="M31" s="50">
        <v>1447</v>
      </c>
      <c r="N31" s="50">
        <v>1461</v>
      </c>
      <c r="O31" s="50">
        <v>1475</v>
      </c>
      <c r="P31" s="51">
        <v>1.0515300426679364E-2</v>
      </c>
      <c r="Q31" s="71">
        <f t="shared" si="0"/>
        <v>18040</v>
      </c>
    </row>
    <row r="32" spans="1:17" ht="13.15" x14ac:dyDescent="0.25">
      <c r="A32" s="49"/>
      <c r="B32" s="35" t="s">
        <v>8</v>
      </c>
      <c r="C32" s="50">
        <v>11249</v>
      </c>
      <c r="D32" s="50">
        <v>11471</v>
      </c>
      <c r="E32" s="50">
        <v>11641</v>
      </c>
      <c r="F32" s="50">
        <v>11825</v>
      </c>
      <c r="G32" s="50">
        <v>11946</v>
      </c>
      <c r="H32" s="50">
        <v>12067</v>
      </c>
      <c r="I32" s="50">
        <v>12176</v>
      </c>
      <c r="J32" s="50">
        <v>12275</v>
      </c>
      <c r="K32" s="50">
        <v>12382</v>
      </c>
      <c r="L32" s="50">
        <v>12484</v>
      </c>
      <c r="M32" s="50">
        <v>12589</v>
      </c>
      <c r="N32" s="50">
        <v>12684</v>
      </c>
      <c r="O32" s="50">
        <v>12775</v>
      </c>
      <c r="P32" s="51">
        <v>1.0657297066615001E-2</v>
      </c>
      <c r="Q32" s="71">
        <f t="shared" si="0"/>
        <v>157564</v>
      </c>
    </row>
    <row r="33" spans="1:17" ht="13.15" x14ac:dyDescent="0.25">
      <c r="A33" s="49"/>
      <c r="B33" s="35" t="s">
        <v>88</v>
      </c>
      <c r="C33" s="50">
        <v>458</v>
      </c>
      <c r="D33" s="50">
        <v>464</v>
      </c>
      <c r="E33" s="50">
        <v>468</v>
      </c>
      <c r="F33" s="50">
        <v>474</v>
      </c>
      <c r="G33" s="50">
        <v>478</v>
      </c>
      <c r="H33" s="50">
        <v>482</v>
      </c>
      <c r="I33" s="50">
        <v>487</v>
      </c>
      <c r="J33" s="50">
        <v>493</v>
      </c>
      <c r="K33" s="50">
        <v>498</v>
      </c>
      <c r="L33" s="50">
        <v>504</v>
      </c>
      <c r="M33" s="50">
        <v>509</v>
      </c>
      <c r="N33" s="50">
        <v>514</v>
      </c>
      <c r="O33" s="50">
        <v>519</v>
      </c>
      <c r="P33" s="51">
        <v>1.047403088059351E-2</v>
      </c>
      <c r="Q33" s="71">
        <f t="shared" si="0"/>
        <v>6348</v>
      </c>
    </row>
    <row r="34" spans="1:17" ht="13.15" x14ac:dyDescent="0.25">
      <c r="A34" s="52" t="s">
        <v>132</v>
      </c>
      <c r="B34" s="35"/>
      <c r="C34" s="50">
        <v>16743</v>
      </c>
      <c r="D34" s="50">
        <v>17038</v>
      </c>
      <c r="E34" s="50">
        <v>17262</v>
      </c>
      <c r="F34" s="50">
        <v>17510</v>
      </c>
      <c r="G34" s="50">
        <v>17679</v>
      </c>
      <c r="H34" s="50">
        <v>17856</v>
      </c>
      <c r="I34" s="50">
        <v>18025</v>
      </c>
      <c r="J34" s="50">
        <v>18188</v>
      </c>
      <c r="K34" s="50">
        <v>18362</v>
      </c>
      <c r="L34" s="50">
        <v>18532</v>
      </c>
      <c r="M34" s="50">
        <v>18700</v>
      </c>
      <c r="N34" s="50">
        <v>18855</v>
      </c>
      <c r="O34" s="50">
        <v>19005</v>
      </c>
      <c r="P34" s="51">
        <v>1.0616108709934347E-2</v>
      </c>
      <c r="Q34" s="71">
        <f t="shared" si="0"/>
        <v>233755</v>
      </c>
    </row>
    <row r="35" spans="1:17" ht="13.15" x14ac:dyDescent="0.25">
      <c r="A35" s="49"/>
      <c r="B35" s="35" t="s">
        <v>9</v>
      </c>
      <c r="C35" s="50">
        <v>2478</v>
      </c>
      <c r="D35" s="50">
        <v>2531</v>
      </c>
      <c r="E35" s="50">
        <v>2546</v>
      </c>
      <c r="F35" s="50">
        <v>2546</v>
      </c>
      <c r="G35" s="50">
        <v>2550</v>
      </c>
      <c r="H35" s="50">
        <v>2552</v>
      </c>
      <c r="I35" s="50">
        <v>2558</v>
      </c>
      <c r="J35" s="50">
        <v>2563</v>
      </c>
      <c r="K35" s="50">
        <v>2578</v>
      </c>
      <c r="L35" s="50">
        <v>2586</v>
      </c>
      <c r="M35" s="50">
        <v>2591</v>
      </c>
      <c r="N35" s="50">
        <v>2600</v>
      </c>
      <c r="O35" s="50">
        <v>2602</v>
      </c>
      <c r="P35" s="51">
        <v>4.0773395632616172E-3</v>
      </c>
      <c r="Q35" s="71">
        <f t="shared" si="0"/>
        <v>33281</v>
      </c>
    </row>
    <row r="36" spans="1:17" ht="13.15" x14ac:dyDescent="0.25">
      <c r="A36" s="49"/>
      <c r="B36" s="35" t="s">
        <v>133</v>
      </c>
      <c r="C36" s="50">
        <v>231</v>
      </c>
      <c r="D36" s="50">
        <v>236</v>
      </c>
      <c r="E36" s="50">
        <v>237</v>
      </c>
      <c r="F36" s="50">
        <v>237</v>
      </c>
      <c r="G36" s="50">
        <v>237</v>
      </c>
      <c r="H36" s="50">
        <v>237</v>
      </c>
      <c r="I36" s="50">
        <v>238</v>
      </c>
      <c r="J36" s="50">
        <v>238</v>
      </c>
      <c r="K36" s="50">
        <v>240</v>
      </c>
      <c r="L36" s="50">
        <v>241</v>
      </c>
      <c r="M36" s="50">
        <v>241</v>
      </c>
      <c r="N36" s="50">
        <v>242</v>
      </c>
      <c r="O36" s="50">
        <v>242</v>
      </c>
      <c r="P36" s="51">
        <v>3.8841919663850089E-3</v>
      </c>
      <c r="Q36" s="71">
        <f t="shared" si="0"/>
        <v>3097</v>
      </c>
    </row>
    <row r="37" spans="1:17" ht="13.15" x14ac:dyDescent="0.25">
      <c r="A37" s="49"/>
      <c r="B37" s="35" t="s">
        <v>134</v>
      </c>
      <c r="C37" s="50">
        <v>1488</v>
      </c>
      <c r="D37" s="50">
        <v>1520</v>
      </c>
      <c r="E37" s="50">
        <v>1529</v>
      </c>
      <c r="F37" s="50">
        <v>1529</v>
      </c>
      <c r="G37" s="50">
        <v>1531</v>
      </c>
      <c r="H37" s="50">
        <v>1533</v>
      </c>
      <c r="I37" s="50">
        <v>1537</v>
      </c>
      <c r="J37" s="50">
        <v>1539</v>
      </c>
      <c r="K37" s="50">
        <v>1548</v>
      </c>
      <c r="L37" s="50">
        <v>1553</v>
      </c>
      <c r="M37" s="50">
        <v>1557</v>
      </c>
      <c r="N37" s="50">
        <v>1562</v>
      </c>
      <c r="O37" s="50">
        <v>1563</v>
      </c>
      <c r="P37" s="51">
        <v>4.1062505578026709E-3</v>
      </c>
      <c r="Q37" s="71">
        <f t="shared" si="0"/>
        <v>19989</v>
      </c>
    </row>
    <row r="38" spans="1:17" ht="13.15" x14ac:dyDescent="0.25">
      <c r="A38" s="49"/>
      <c r="B38" s="35" t="s">
        <v>2</v>
      </c>
      <c r="C38" s="50">
        <v>1229</v>
      </c>
      <c r="D38" s="50">
        <v>1255</v>
      </c>
      <c r="E38" s="50">
        <v>1262</v>
      </c>
      <c r="F38" s="50">
        <v>1262</v>
      </c>
      <c r="G38" s="50">
        <v>1264</v>
      </c>
      <c r="H38" s="50">
        <v>1265</v>
      </c>
      <c r="I38" s="50">
        <v>1268</v>
      </c>
      <c r="J38" s="50">
        <v>1271</v>
      </c>
      <c r="K38" s="50">
        <v>1278</v>
      </c>
      <c r="L38" s="50">
        <v>1282</v>
      </c>
      <c r="M38" s="50">
        <v>1285</v>
      </c>
      <c r="N38" s="50">
        <v>1289</v>
      </c>
      <c r="O38" s="50">
        <v>1290</v>
      </c>
      <c r="P38" s="51">
        <v>4.044941096252197E-3</v>
      </c>
      <c r="Q38" s="71">
        <f t="shared" si="0"/>
        <v>16500</v>
      </c>
    </row>
    <row r="39" spans="1:17" ht="13.15" x14ac:dyDescent="0.25">
      <c r="A39" s="49"/>
      <c r="B39" s="35" t="s">
        <v>11</v>
      </c>
      <c r="C39" s="50">
        <v>2382</v>
      </c>
      <c r="D39" s="50">
        <v>2434</v>
      </c>
      <c r="E39" s="50">
        <v>2448</v>
      </c>
      <c r="F39" s="50">
        <v>2448</v>
      </c>
      <c r="G39" s="50">
        <v>2451</v>
      </c>
      <c r="H39" s="50">
        <v>2454</v>
      </c>
      <c r="I39" s="50">
        <v>2459</v>
      </c>
      <c r="J39" s="50">
        <v>2464</v>
      </c>
      <c r="K39" s="50">
        <v>2478</v>
      </c>
      <c r="L39" s="50">
        <v>2486</v>
      </c>
      <c r="M39" s="50">
        <v>2491</v>
      </c>
      <c r="N39" s="50">
        <v>2500</v>
      </c>
      <c r="O39" s="50">
        <v>2502</v>
      </c>
      <c r="P39" s="51">
        <v>4.1042277947578309E-3</v>
      </c>
      <c r="Q39" s="71">
        <f t="shared" si="0"/>
        <v>31997</v>
      </c>
    </row>
    <row r="40" spans="1:17" ht="13.15" x14ac:dyDescent="0.25">
      <c r="A40" s="49"/>
      <c r="B40" s="35" t="s">
        <v>135</v>
      </c>
      <c r="C40" s="50">
        <v>73083</v>
      </c>
      <c r="D40" s="50">
        <v>72339.040847444892</v>
      </c>
      <c r="E40" s="50">
        <v>72761.127368695554</v>
      </c>
      <c r="F40" s="50">
        <v>72712.624229954963</v>
      </c>
      <c r="G40" s="50">
        <v>72781.352082347192</v>
      </c>
      <c r="H40" s="50">
        <v>72803.071467210102</v>
      </c>
      <c r="I40" s="50">
        <v>72926.395190557683</v>
      </c>
      <c r="J40" s="50">
        <v>73012.01512560343</v>
      </c>
      <c r="K40" s="50">
        <v>73377.858263621572</v>
      </c>
      <c r="L40" s="50">
        <v>73577.38624059147</v>
      </c>
      <c r="M40" s="50">
        <v>73701.076999566285</v>
      </c>
      <c r="N40" s="50">
        <v>73898.198032026456</v>
      </c>
      <c r="O40" s="50">
        <v>73925.827479542117</v>
      </c>
      <c r="P40" s="51">
        <v>9.5599647412281108E-4</v>
      </c>
      <c r="Q40" s="71">
        <f t="shared" si="0"/>
        <v>950898.97332716163</v>
      </c>
    </row>
    <row r="41" spans="1:17" ht="13.15" x14ac:dyDescent="0.25">
      <c r="A41" s="49"/>
      <c r="B41" s="35" t="s">
        <v>107</v>
      </c>
      <c r="C41" s="50">
        <v>1234</v>
      </c>
      <c r="D41" s="50">
        <v>1261</v>
      </c>
      <c r="E41" s="50">
        <v>1268</v>
      </c>
      <c r="F41" s="50">
        <v>1268</v>
      </c>
      <c r="G41" s="50">
        <v>1270</v>
      </c>
      <c r="H41" s="50">
        <v>1271</v>
      </c>
      <c r="I41" s="50">
        <v>1274</v>
      </c>
      <c r="J41" s="50">
        <v>1276</v>
      </c>
      <c r="K41" s="50">
        <v>1284</v>
      </c>
      <c r="L41" s="50">
        <v>1288</v>
      </c>
      <c r="M41" s="50">
        <v>1291</v>
      </c>
      <c r="N41" s="50">
        <v>1295</v>
      </c>
      <c r="O41" s="50">
        <v>1296</v>
      </c>
      <c r="P41" s="51">
        <v>4.0934949264079812E-3</v>
      </c>
      <c r="Q41" s="71">
        <f t="shared" si="0"/>
        <v>16576</v>
      </c>
    </row>
    <row r="42" spans="1:17" ht="13.15" x14ac:dyDescent="0.25">
      <c r="A42" s="52" t="s">
        <v>136</v>
      </c>
      <c r="B42" s="35"/>
      <c r="C42" s="50">
        <v>82125</v>
      </c>
      <c r="D42" s="50">
        <v>81576.040847444892</v>
      </c>
      <c r="E42" s="50">
        <v>82051.127368695554</v>
      </c>
      <c r="F42" s="50">
        <v>82002.624229954963</v>
      </c>
      <c r="G42" s="50">
        <v>82084.352082347192</v>
      </c>
      <c r="H42" s="50">
        <v>82115.071467210102</v>
      </c>
      <c r="I42" s="50">
        <v>82260.395190557683</v>
      </c>
      <c r="J42" s="50">
        <v>82363.01512560343</v>
      </c>
      <c r="K42" s="50">
        <v>82783.858263621572</v>
      </c>
      <c r="L42" s="50">
        <v>83013.38624059147</v>
      </c>
      <c r="M42" s="50">
        <v>83157.076999566285</v>
      </c>
      <c r="N42" s="50">
        <v>83386.198032026456</v>
      </c>
      <c r="O42" s="50">
        <v>83420.827479542117</v>
      </c>
      <c r="P42" s="51">
        <v>1.3054790095754498E-3</v>
      </c>
      <c r="Q42" s="71">
        <f t="shared" si="0"/>
        <v>1072338.9733271617</v>
      </c>
    </row>
    <row r="43" spans="1:17" ht="13.15" x14ac:dyDescent="0.25">
      <c r="A43" s="49"/>
      <c r="B43" s="35" t="s">
        <v>137</v>
      </c>
      <c r="C43" s="50">
        <v>2190</v>
      </c>
      <c r="D43" s="50">
        <v>5191</v>
      </c>
      <c r="E43" s="50">
        <v>5191</v>
      </c>
      <c r="F43" s="50">
        <v>5191</v>
      </c>
      <c r="G43" s="50">
        <v>5191</v>
      </c>
      <c r="H43" s="50">
        <v>5191</v>
      </c>
      <c r="I43" s="50">
        <v>5191</v>
      </c>
      <c r="J43" s="50">
        <v>5191</v>
      </c>
      <c r="K43" s="50">
        <v>5191</v>
      </c>
      <c r="L43" s="50">
        <v>5191</v>
      </c>
      <c r="M43" s="50">
        <v>5191</v>
      </c>
      <c r="N43" s="50">
        <v>5191</v>
      </c>
      <c r="O43" s="50">
        <v>5191</v>
      </c>
      <c r="P43" s="51">
        <v>7.4568015120356712E-2</v>
      </c>
      <c r="Q43" s="71">
        <f t="shared" si="0"/>
        <v>64482</v>
      </c>
    </row>
    <row r="44" spans="1:17" ht="13.15" x14ac:dyDescent="0.25">
      <c r="A44" s="49"/>
      <c r="B44" s="35" t="s">
        <v>138</v>
      </c>
      <c r="C44" s="50">
        <v>15992</v>
      </c>
      <c r="D44" s="50">
        <v>15829.207082800905</v>
      </c>
      <c r="E44" s="50">
        <v>15948.974192268664</v>
      </c>
      <c r="F44" s="50">
        <v>16011.885452583367</v>
      </c>
      <c r="G44" s="50">
        <v>16103.000003050425</v>
      </c>
      <c r="H44" s="50">
        <v>16174.621023612792</v>
      </c>
      <c r="I44" s="50">
        <v>16271.42445655427</v>
      </c>
      <c r="J44" s="50">
        <v>16352.797211324718</v>
      </c>
      <c r="K44" s="50">
        <v>16555.589584547462</v>
      </c>
      <c r="L44" s="50">
        <v>16657.789334534355</v>
      </c>
      <c r="M44" s="50">
        <v>16739.258708217116</v>
      </c>
      <c r="N44" s="50">
        <v>16862.381572177059</v>
      </c>
      <c r="O44" s="50">
        <v>16920.298352516758</v>
      </c>
      <c r="P44" s="51">
        <v>4.7131881235693562E-3</v>
      </c>
      <c r="Q44" s="71">
        <f t="shared" si="0"/>
        <v>212419.22697418788</v>
      </c>
    </row>
    <row r="45" spans="1:17" ht="13.15" x14ac:dyDescent="0.25">
      <c r="A45" s="52" t="s">
        <v>139</v>
      </c>
      <c r="B45" s="35"/>
      <c r="C45" s="50">
        <v>18182</v>
      </c>
      <c r="D45" s="50">
        <v>21020.207082800905</v>
      </c>
      <c r="E45" s="50">
        <v>21139.974192268666</v>
      </c>
      <c r="F45" s="50">
        <v>21202.885452583367</v>
      </c>
      <c r="G45" s="50">
        <v>21294.000003050423</v>
      </c>
      <c r="H45" s="50">
        <v>21365.621023612792</v>
      </c>
      <c r="I45" s="50">
        <v>21462.424456554269</v>
      </c>
      <c r="J45" s="50">
        <v>21543.797211324716</v>
      </c>
      <c r="K45" s="50">
        <v>21746.589584547462</v>
      </c>
      <c r="L45" s="50">
        <v>21848.789334534355</v>
      </c>
      <c r="M45" s="50">
        <v>21930.258708217116</v>
      </c>
      <c r="N45" s="50">
        <v>22053.381572177059</v>
      </c>
      <c r="O45" s="50">
        <v>22111.298352516758</v>
      </c>
      <c r="P45" s="51">
        <v>1.6438365783083997E-2</v>
      </c>
      <c r="Q45" s="71">
        <f t="shared" si="0"/>
        <v>276901.22697418788</v>
      </c>
    </row>
    <row r="46" spans="1:17" ht="13.15" x14ac:dyDescent="0.25">
      <c r="A46" s="49"/>
      <c r="B46" s="35" t="s">
        <v>133</v>
      </c>
      <c r="C46" s="50">
        <v>2331</v>
      </c>
      <c r="D46" s="50">
        <v>2381</v>
      </c>
      <c r="E46" s="50">
        <v>2395</v>
      </c>
      <c r="F46" s="50">
        <v>2395</v>
      </c>
      <c r="G46" s="50">
        <v>2399</v>
      </c>
      <c r="H46" s="50">
        <v>2401</v>
      </c>
      <c r="I46" s="50">
        <v>2406</v>
      </c>
      <c r="J46" s="50">
        <v>2411</v>
      </c>
      <c r="K46" s="50">
        <v>2425</v>
      </c>
      <c r="L46" s="50">
        <v>2433</v>
      </c>
      <c r="M46" s="50">
        <v>2438</v>
      </c>
      <c r="N46" s="50">
        <v>2446</v>
      </c>
      <c r="O46" s="50">
        <v>2448</v>
      </c>
      <c r="P46" s="51">
        <v>4.0895063527857101E-3</v>
      </c>
      <c r="Q46" s="71">
        <f t="shared" si="0"/>
        <v>31309</v>
      </c>
    </row>
    <row r="47" spans="1:17" ht="13.15" x14ac:dyDescent="0.25">
      <c r="A47" s="49"/>
      <c r="B47" s="35" t="s">
        <v>140</v>
      </c>
      <c r="C47" s="50">
        <v>82</v>
      </c>
      <c r="D47" s="50">
        <v>84</v>
      </c>
      <c r="E47" s="50">
        <v>84</v>
      </c>
      <c r="F47" s="50">
        <v>84</v>
      </c>
      <c r="G47" s="50">
        <v>85</v>
      </c>
      <c r="H47" s="50">
        <v>85</v>
      </c>
      <c r="I47" s="50">
        <v>85</v>
      </c>
      <c r="J47" s="50">
        <v>85</v>
      </c>
      <c r="K47" s="50">
        <v>86</v>
      </c>
      <c r="L47" s="50">
        <v>86</v>
      </c>
      <c r="M47" s="50">
        <v>86</v>
      </c>
      <c r="N47" s="50">
        <v>86</v>
      </c>
      <c r="O47" s="50">
        <v>86</v>
      </c>
      <c r="P47" s="51">
        <v>3.9768910101050103E-3</v>
      </c>
      <c r="Q47" s="71">
        <f t="shared" si="0"/>
        <v>1104</v>
      </c>
    </row>
    <row r="48" spans="1:17" ht="13.15" x14ac:dyDescent="0.25">
      <c r="A48" s="49"/>
      <c r="B48" s="35" t="s">
        <v>141</v>
      </c>
      <c r="C48" s="50">
        <v>4052</v>
      </c>
      <c r="D48" s="50">
        <v>4010.7520697542068</v>
      </c>
      <c r="E48" s="50">
        <v>4019.8984390357768</v>
      </c>
      <c r="F48" s="50">
        <v>4005.4903174616729</v>
      </c>
      <c r="G48" s="50">
        <v>3999.6479146023694</v>
      </c>
      <c r="H48" s="50">
        <v>4000.3075091771043</v>
      </c>
      <c r="I48" s="50">
        <v>4011.1803528880469</v>
      </c>
      <c r="J48" s="50">
        <v>4018.1876630718634</v>
      </c>
      <c r="K48" s="50">
        <v>4036.5521518309688</v>
      </c>
      <c r="L48" s="50">
        <v>4045.8244248741785</v>
      </c>
      <c r="M48" s="50">
        <v>4049.664292216612</v>
      </c>
      <c r="N48" s="50">
        <v>4057.4203957964978</v>
      </c>
      <c r="O48" s="50">
        <v>4055.8741679411196</v>
      </c>
      <c r="P48" s="51">
        <v>7.9641149358433694E-5</v>
      </c>
      <c r="Q48" s="71">
        <f t="shared" si="0"/>
        <v>52362.799698650415</v>
      </c>
    </row>
    <row r="49" spans="1:17" ht="13.15" x14ac:dyDescent="0.25">
      <c r="A49" s="52" t="s">
        <v>142</v>
      </c>
      <c r="B49" s="35"/>
      <c r="C49" s="50">
        <v>106772</v>
      </c>
      <c r="D49" s="50">
        <v>109072</v>
      </c>
      <c r="E49" s="50">
        <v>109690</v>
      </c>
      <c r="F49" s="50">
        <v>109690.00000000001</v>
      </c>
      <c r="G49" s="50">
        <v>109861.99999999997</v>
      </c>
      <c r="H49" s="50">
        <v>109967</v>
      </c>
      <c r="I49" s="50">
        <v>110225</v>
      </c>
      <c r="J49" s="50">
        <v>110421.00000000001</v>
      </c>
      <c r="K49" s="50">
        <v>111078</v>
      </c>
      <c r="L49" s="50">
        <v>111427</v>
      </c>
      <c r="M49" s="50">
        <v>111661.00000000001</v>
      </c>
      <c r="N49" s="50">
        <v>112029.00000000001</v>
      </c>
      <c r="O49" s="50">
        <v>112121.99999999999</v>
      </c>
      <c r="P49" s="51">
        <v>4.0826316853508349E-3</v>
      </c>
      <c r="Q49" s="71">
        <f t="shared" si="0"/>
        <v>1434016</v>
      </c>
    </row>
    <row r="50" spans="1:17" ht="13.15" x14ac:dyDescent="0.25">
      <c r="A50" s="52" t="s">
        <v>143</v>
      </c>
      <c r="B50" s="35"/>
      <c r="C50" s="50">
        <v>21542</v>
      </c>
      <c r="D50" s="50">
        <v>21451</v>
      </c>
      <c r="E50" s="50">
        <v>21291</v>
      </c>
      <c r="F50" s="50">
        <v>21431</v>
      </c>
      <c r="G50" s="50">
        <v>21465</v>
      </c>
      <c r="H50" s="50">
        <v>21525</v>
      </c>
      <c r="I50" s="50">
        <v>21574</v>
      </c>
      <c r="J50" s="50">
        <v>21674</v>
      </c>
      <c r="K50" s="50">
        <v>21866</v>
      </c>
      <c r="L50" s="50">
        <v>21956</v>
      </c>
      <c r="M50" s="50">
        <v>22049</v>
      </c>
      <c r="N50" s="50">
        <v>22132</v>
      </c>
      <c r="O50" s="50">
        <v>22202</v>
      </c>
      <c r="P50" s="51">
        <v>2.5179862309576695E-3</v>
      </c>
      <c r="Q50" s="71">
        <f t="shared" si="0"/>
        <v>282158</v>
      </c>
    </row>
    <row r="51" spans="1:17" ht="13.15" x14ac:dyDescent="0.25">
      <c r="A51" s="52" t="s">
        <v>144</v>
      </c>
      <c r="B51" s="35"/>
      <c r="C51" s="50">
        <v>11</v>
      </c>
      <c r="D51" s="50">
        <v>11</v>
      </c>
      <c r="E51" s="50">
        <v>11</v>
      </c>
      <c r="F51" s="50">
        <v>11</v>
      </c>
      <c r="G51" s="50">
        <v>12</v>
      </c>
      <c r="H51" s="50">
        <v>12</v>
      </c>
      <c r="I51" s="50">
        <v>12</v>
      </c>
      <c r="J51" s="50">
        <v>12</v>
      </c>
      <c r="K51" s="50">
        <v>12</v>
      </c>
      <c r="L51" s="50">
        <v>12</v>
      </c>
      <c r="M51" s="50">
        <v>12</v>
      </c>
      <c r="N51" s="50">
        <v>13</v>
      </c>
      <c r="O51" s="50">
        <v>13</v>
      </c>
      <c r="P51" s="51">
        <v>1.4018524481887562E-2</v>
      </c>
      <c r="Q51" s="71">
        <f t="shared" si="0"/>
        <v>154</v>
      </c>
    </row>
    <row r="52" spans="1:17" ht="12.75" x14ac:dyDescent="0.2">
      <c r="A52" s="52" t="s">
        <v>145</v>
      </c>
      <c r="B52" s="35"/>
      <c r="C52" s="50">
        <v>128325</v>
      </c>
      <c r="D52" s="50">
        <v>130534</v>
      </c>
      <c r="E52" s="50">
        <v>130992</v>
      </c>
      <c r="F52" s="50">
        <v>131132</v>
      </c>
      <c r="G52" s="50">
        <v>131338.99999999997</v>
      </c>
      <c r="H52" s="50">
        <v>131504</v>
      </c>
      <c r="I52" s="50">
        <v>131811</v>
      </c>
      <c r="J52" s="50">
        <v>132107</v>
      </c>
      <c r="K52" s="50">
        <v>132956</v>
      </c>
      <c r="L52" s="50">
        <v>133395</v>
      </c>
      <c r="M52" s="50">
        <v>133722</v>
      </c>
      <c r="N52" s="50">
        <v>134174</v>
      </c>
      <c r="O52" s="50">
        <v>134337</v>
      </c>
      <c r="P52" s="51">
        <v>3.8227430933119866E-3</v>
      </c>
      <c r="Q52" s="71">
        <f t="shared" si="0"/>
        <v>1716328</v>
      </c>
    </row>
    <row r="53" spans="1:17" ht="12.75" x14ac:dyDescent="0.2">
      <c r="A53" s="49"/>
      <c r="B53" s="35" t="s">
        <v>108</v>
      </c>
      <c r="C53" s="50">
        <v>1204</v>
      </c>
      <c r="D53" s="50">
        <v>1187</v>
      </c>
      <c r="E53" s="50">
        <v>1187</v>
      </c>
      <c r="F53" s="50">
        <v>1193</v>
      </c>
      <c r="G53" s="50">
        <v>1198</v>
      </c>
      <c r="H53" s="50">
        <v>1202</v>
      </c>
      <c r="I53" s="50">
        <v>1208</v>
      </c>
      <c r="J53" s="50">
        <v>1214</v>
      </c>
      <c r="K53" s="50">
        <v>1225</v>
      </c>
      <c r="L53" s="50">
        <v>1229</v>
      </c>
      <c r="M53" s="50">
        <v>1233</v>
      </c>
      <c r="N53" s="50">
        <v>1238</v>
      </c>
      <c r="O53" s="50">
        <v>1241</v>
      </c>
      <c r="P53" s="51">
        <v>2.525530403847176E-3</v>
      </c>
      <c r="Q53" s="71">
        <f t="shared" si="0"/>
        <v>15759</v>
      </c>
    </row>
    <row r="54" spans="1:17" ht="12.75" x14ac:dyDescent="0.2">
      <c r="A54" s="49"/>
      <c r="B54" s="35" t="s">
        <v>109</v>
      </c>
      <c r="C54" s="50">
        <v>1183</v>
      </c>
      <c r="D54" s="50">
        <v>1166</v>
      </c>
      <c r="E54" s="50">
        <v>1167</v>
      </c>
      <c r="F54" s="50">
        <v>1172</v>
      </c>
      <c r="G54" s="50">
        <v>1177</v>
      </c>
      <c r="H54" s="50">
        <v>1181</v>
      </c>
      <c r="I54" s="50">
        <v>1186</v>
      </c>
      <c r="J54" s="50">
        <v>1192</v>
      </c>
      <c r="K54" s="50">
        <v>1203</v>
      </c>
      <c r="L54" s="50">
        <v>1208</v>
      </c>
      <c r="M54" s="50">
        <v>1212</v>
      </c>
      <c r="N54" s="50">
        <v>1217</v>
      </c>
      <c r="O54" s="50">
        <v>1219</v>
      </c>
      <c r="P54" s="51">
        <v>2.5012283238889932E-3</v>
      </c>
      <c r="Q54" s="71">
        <f t="shared" si="0"/>
        <v>15483</v>
      </c>
    </row>
    <row r="55" spans="1:17" ht="12.75" x14ac:dyDescent="0.2">
      <c r="A55" s="49"/>
      <c r="B55" s="35" t="s">
        <v>7</v>
      </c>
      <c r="C55" s="50">
        <v>26621</v>
      </c>
      <c r="D55" s="50">
        <v>26197</v>
      </c>
      <c r="E55" s="50">
        <v>26254</v>
      </c>
      <c r="F55" s="50">
        <v>26359</v>
      </c>
      <c r="G55" s="50">
        <v>26418</v>
      </c>
      <c r="H55" s="50">
        <v>26578</v>
      </c>
      <c r="I55" s="50">
        <v>26802</v>
      </c>
      <c r="J55" s="50">
        <v>27023</v>
      </c>
      <c r="K55" s="50">
        <v>27270</v>
      </c>
      <c r="L55" s="50">
        <v>27491</v>
      </c>
      <c r="M55" s="50">
        <v>27739</v>
      </c>
      <c r="N55" s="50">
        <v>27982</v>
      </c>
      <c r="O55" s="50">
        <v>28237</v>
      </c>
      <c r="P55" s="51">
        <v>4.9231454426212906E-3</v>
      </c>
      <c r="Q55" s="71">
        <f t="shared" si="0"/>
        <v>350971</v>
      </c>
    </row>
    <row r="56" spans="1:17" ht="12.75" x14ac:dyDescent="0.2">
      <c r="A56" s="52" t="s">
        <v>146</v>
      </c>
      <c r="B56" s="35"/>
      <c r="C56" s="50">
        <v>29008</v>
      </c>
      <c r="D56" s="50">
        <v>28550</v>
      </c>
      <c r="E56" s="50">
        <v>28608</v>
      </c>
      <c r="F56" s="50">
        <v>28724</v>
      </c>
      <c r="G56" s="50">
        <v>28793</v>
      </c>
      <c r="H56" s="50">
        <v>28961</v>
      </c>
      <c r="I56" s="50">
        <v>29196</v>
      </c>
      <c r="J56" s="50">
        <v>29429</v>
      </c>
      <c r="K56" s="50">
        <v>29698</v>
      </c>
      <c r="L56" s="50">
        <v>29928</v>
      </c>
      <c r="M56" s="50">
        <v>30184</v>
      </c>
      <c r="N56" s="50">
        <v>30437</v>
      </c>
      <c r="O56" s="50">
        <v>30697</v>
      </c>
      <c r="P56" s="51">
        <v>4.7272446604225138E-3</v>
      </c>
      <c r="Q56" s="71">
        <f t="shared" si="0"/>
        <v>382213</v>
      </c>
    </row>
    <row r="57" spans="1:17" ht="12.75" x14ac:dyDescent="0.2">
      <c r="A57" s="52" t="s">
        <v>147</v>
      </c>
      <c r="B57" s="35"/>
      <c r="C57" s="50">
        <v>3827</v>
      </c>
      <c r="D57" s="50">
        <v>3801</v>
      </c>
      <c r="E57" s="50">
        <v>3872</v>
      </c>
      <c r="F57" s="50">
        <v>3922</v>
      </c>
      <c r="G57" s="50">
        <v>3970</v>
      </c>
      <c r="H57" s="50">
        <v>4025</v>
      </c>
      <c r="I57" s="50">
        <v>4087</v>
      </c>
      <c r="J57" s="50">
        <v>4151</v>
      </c>
      <c r="K57" s="50">
        <v>4228</v>
      </c>
      <c r="L57" s="50">
        <v>4300</v>
      </c>
      <c r="M57" s="50">
        <v>4370</v>
      </c>
      <c r="N57" s="50">
        <v>4441</v>
      </c>
      <c r="O57" s="50">
        <v>4504</v>
      </c>
      <c r="P57" s="51">
        <v>1.3666264922636007E-2</v>
      </c>
      <c r="Q57" s="71">
        <f t="shared" si="0"/>
        <v>53498</v>
      </c>
    </row>
    <row r="58" spans="1:17" ht="12.75" x14ac:dyDescent="0.2">
      <c r="A58" s="52" t="s">
        <v>148</v>
      </c>
      <c r="B58" s="35"/>
      <c r="C58" s="50">
        <v>233023</v>
      </c>
      <c r="D58" s="50">
        <v>235238</v>
      </c>
      <c r="E58" s="50">
        <v>235430</v>
      </c>
      <c r="F58" s="50">
        <v>236167</v>
      </c>
      <c r="G58" s="50">
        <v>236909.99999999997</v>
      </c>
      <c r="H58" s="50">
        <v>237487</v>
      </c>
      <c r="I58" s="50">
        <v>238300</v>
      </c>
      <c r="J58" s="50">
        <v>239217</v>
      </c>
      <c r="K58" s="50">
        <v>240871</v>
      </c>
      <c r="L58" s="50">
        <v>242049</v>
      </c>
      <c r="M58" s="50">
        <v>242863</v>
      </c>
      <c r="N58" s="50">
        <v>243740</v>
      </c>
      <c r="O58" s="50">
        <v>244304</v>
      </c>
      <c r="P58" s="51">
        <v>3.9474532756829106E-3</v>
      </c>
      <c r="Q58" s="71">
        <f t="shared" si="0"/>
        <v>3105599</v>
      </c>
    </row>
    <row r="59" spans="1:17" ht="12.75" x14ac:dyDescent="0.2">
      <c r="A59" s="54" t="s">
        <v>149</v>
      </c>
      <c r="B59" s="55"/>
      <c r="C59" s="56">
        <v>285218</v>
      </c>
      <c r="D59" s="56">
        <v>287292</v>
      </c>
      <c r="E59" s="56">
        <v>287862</v>
      </c>
      <c r="F59" s="56">
        <v>289043</v>
      </c>
      <c r="G59" s="56">
        <v>290095</v>
      </c>
      <c r="H59" s="56">
        <v>291096</v>
      </c>
      <c r="I59" s="56">
        <v>292401</v>
      </c>
      <c r="J59" s="56">
        <v>293805</v>
      </c>
      <c r="K59" s="56">
        <v>296009</v>
      </c>
      <c r="L59" s="56">
        <v>297692</v>
      </c>
      <c r="M59" s="56">
        <v>299030</v>
      </c>
      <c r="N59" s="56">
        <v>300413</v>
      </c>
      <c r="O59" s="56">
        <v>301480</v>
      </c>
      <c r="P59" s="51">
        <v>4.6315157018594899E-3</v>
      </c>
      <c r="Q59" s="72">
        <f t="shared" si="0"/>
        <v>3811436</v>
      </c>
    </row>
    <row r="60" spans="1:17" x14ac:dyDescent="0.25">
      <c r="A60" s="35" t="s">
        <v>150</v>
      </c>
      <c r="B60" s="35"/>
      <c r="C60" s="57"/>
      <c r="D60" s="57"/>
      <c r="E60" s="57"/>
      <c r="F60" s="57"/>
      <c r="G60" s="57"/>
      <c r="H60" s="57"/>
      <c r="I60" s="57"/>
      <c r="J60" s="57"/>
      <c r="K60" s="57"/>
      <c r="L60" s="57"/>
      <c r="M60" s="57"/>
      <c r="N60" s="57"/>
      <c r="O60" s="57"/>
      <c r="P60" s="79"/>
    </row>
    <row r="61" spans="1:17" ht="12.75" x14ac:dyDescent="0.2">
      <c r="A61" s="35" t="s">
        <v>163</v>
      </c>
      <c r="B61" s="35"/>
      <c r="C61" s="57"/>
      <c r="D61" s="57"/>
      <c r="E61" s="57"/>
      <c r="F61" s="57"/>
      <c r="G61" s="57"/>
      <c r="H61" s="57"/>
      <c r="I61" s="57"/>
      <c r="J61" s="57"/>
      <c r="K61" s="57"/>
      <c r="L61" s="57"/>
      <c r="M61" s="57"/>
      <c r="N61" s="57"/>
      <c r="O61" s="57"/>
      <c r="P61" s="58"/>
    </row>
    <row r="62" spans="1:17" ht="12.75" x14ac:dyDescent="0.2">
      <c r="A62" s="35" t="s">
        <v>164</v>
      </c>
      <c r="B62" s="35"/>
      <c r="C62" s="57"/>
      <c r="D62" s="57"/>
      <c r="E62" s="57"/>
      <c r="F62" s="57"/>
      <c r="G62" s="57"/>
      <c r="H62" s="57"/>
      <c r="I62" s="57"/>
      <c r="J62" s="57"/>
      <c r="K62" s="57"/>
      <c r="L62" s="57"/>
      <c r="M62" s="57"/>
      <c r="N62" s="57"/>
      <c r="O62" s="57"/>
      <c r="P62" s="58"/>
    </row>
    <row r="63" spans="1:17" ht="12.75" x14ac:dyDescent="0.2">
      <c r="A63" s="35" t="s">
        <v>151</v>
      </c>
      <c r="B63" s="35"/>
      <c r="C63" s="57"/>
      <c r="D63" s="57"/>
      <c r="E63" s="57"/>
      <c r="F63" s="57"/>
      <c r="G63" s="57"/>
      <c r="H63" s="57"/>
      <c r="I63" s="57"/>
      <c r="J63" s="57"/>
      <c r="K63" s="57"/>
      <c r="L63" s="57"/>
      <c r="M63" s="57"/>
      <c r="N63" s="57"/>
      <c r="O63" s="57"/>
      <c r="P63" s="58"/>
    </row>
    <row r="64" spans="1:17" x14ac:dyDescent="0.25">
      <c r="A64" s="35"/>
      <c r="B64" s="35"/>
      <c r="C64" s="57"/>
      <c r="D64" s="57"/>
      <c r="E64" s="57"/>
      <c r="F64" s="57"/>
      <c r="G64" s="57"/>
      <c r="H64" s="57"/>
      <c r="I64" s="57"/>
      <c r="J64" s="57"/>
      <c r="K64" s="57"/>
      <c r="L64" s="57"/>
      <c r="M64" s="58"/>
    </row>
    <row r="65" spans="1:12" x14ac:dyDescent="0.25">
      <c r="A65" s="35"/>
      <c r="B65" s="35"/>
      <c r="C65" s="35"/>
      <c r="D65" s="35"/>
      <c r="E65" s="35"/>
      <c r="F65" s="35"/>
      <c r="G65" s="35"/>
      <c r="H65" s="35"/>
      <c r="I65" s="35"/>
      <c r="J65" s="35"/>
      <c r="K65" s="35"/>
      <c r="L65" s="35"/>
    </row>
    <row r="66" spans="1:12" x14ac:dyDescent="0.25">
      <c r="A66" s="36"/>
    </row>
  </sheetData>
  <hyperlinks>
    <hyperlink ref="F5" r:id="rId1"/>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sheetViews>
  <sheetFormatPr defaultRowHeight="15" x14ac:dyDescent="0.25"/>
  <cols>
    <col min="1" max="1" width="34.28515625" customWidth="1"/>
    <col min="2" max="11" width="10.5703125" bestFit="1" customWidth="1"/>
    <col min="12" max="12" width="49.28515625" style="3" customWidth="1"/>
    <col min="14" max="14" width="8.7109375" customWidth="1"/>
    <col min="15" max="15" width="39.140625" customWidth="1"/>
    <col min="16" max="17" width="12" customWidth="1"/>
    <col min="18" max="18" width="8.7109375" customWidth="1"/>
    <col min="19" max="19" width="14.28515625" customWidth="1"/>
    <col min="20" max="20" width="10.7109375" bestFit="1" customWidth="1"/>
  </cols>
  <sheetData>
    <row r="1" spans="1:16" s="60" customFormat="1" ht="15.6" x14ac:dyDescent="0.3">
      <c r="A1" s="103" t="s">
        <v>26</v>
      </c>
      <c r="B1" s="141" t="s">
        <v>176</v>
      </c>
      <c r="C1" s="142"/>
      <c r="D1" s="142"/>
      <c r="E1" s="142"/>
      <c r="F1" s="142"/>
      <c r="G1" s="142"/>
      <c r="H1" s="142"/>
      <c r="I1" s="142"/>
      <c r="J1" s="142"/>
      <c r="K1" s="142"/>
      <c r="L1" s="143"/>
      <c r="N1" s="144" t="s">
        <v>196</v>
      </c>
      <c r="O1" s="145"/>
      <c r="P1" s="62"/>
    </row>
    <row r="2" spans="1:16"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6" s="60" customFormat="1" ht="58.15" x14ac:dyDescent="0.35">
      <c r="A3" s="105" t="s">
        <v>169</v>
      </c>
      <c r="B3" s="63">
        <f>SUMIFS('Form 1.5a'!J:J, 'Form 1.5a'!$B:$B, "Vernon")*1000</f>
        <v>1276000</v>
      </c>
      <c r="C3" s="63">
        <f>SUMIFS('Form 1.5a'!K:K, 'Form 1.5a'!$B:$B, "Vernon")*1000</f>
        <v>1284000</v>
      </c>
      <c r="D3" s="63">
        <f>SUMIFS('Form 1.5a'!L:L, 'Form 1.5a'!$B:$B, "Vernon")*1000</f>
        <v>1288000</v>
      </c>
      <c r="E3" s="63">
        <f>SUMIFS('Form 1.5a'!M:M, 'Form 1.5a'!$B:$B, "Vernon")*1000</f>
        <v>1291000</v>
      </c>
      <c r="F3" s="63">
        <f>SUMIFS('Form 1.5a'!N:N, 'Form 1.5a'!$B:$B, "Vernon")*1000</f>
        <v>1295000</v>
      </c>
      <c r="G3" s="63">
        <f>SUMIFS('Form 1.5a'!O:O, 'Form 1.5a'!$B:$B, "Vernon")*1000</f>
        <v>1296000</v>
      </c>
      <c r="H3" s="67">
        <f>AVERAGE(E3:G3)*(1+$N$9)</f>
        <v>1299296.982434772</v>
      </c>
      <c r="I3" s="67">
        <f t="shared" ref="I3:K4" si="0">H3*(1+$N$9)</f>
        <v>1304615.648040266</v>
      </c>
      <c r="J3" s="67">
        <f t="shared" si="0"/>
        <v>1309956.0855764314</v>
      </c>
      <c r="K3" s="67">
        <f t="shared" si="0"/>
        <v>1315318.3841665557</v>
      </c>
      <c r="L3" s="89" t="s">
        <v>218</v>
      </c>
      <c r="N3" s="64">
        <v>0.91839999999999999</v>
      </c>
      <c r="O3" s="9" t="s">
        <v>203</v>
      </c>
    </row>
    <row r="4" spans="1:16" s="60" customFormat="1" ht="57.6" x14ac:dyDescent="0.3">
      <c r="A4" s="105" t="s">
        <v>170</v>
      </c>
      <c r="B4" s="63">
        <f>SUMIFS('Form 1.1c'!J:J, 'Form 1.1c'!$B:$B, "City of Vernon")*1000</f>
        <v>1197000</v>
      </c>
      <c r="C4" s="63">
        <f>SUMIFS('Form 1.1c'!K:K, 'Form 1.1c'!$B:$B, "City of Vernon")*1000</f>
        <v>1204000</v>
      </c>
      <c r="D4" s="63">
        <f>SUMIFS('Form 1.1c'!L:L, 'Form 1.1c'!$B:$B, "City of Vernon")*1000</f>
        <v>1208000</v>
      </c>
      <c r="E4" s="63">
        <f>SUMIFS('Form 1.1c'!M:M, 'Form 1.1c'!$B:$B, "City of Vernon")*1000</f>
        <v>1211000</v>
      </c>
      <c r="F4" s="63">
        <f>SUMIFS('Form 1.1c'!N:N, 'Form 1.1c'!$B:$B, "City of Vernon")*1000</f>
        <v>1215000</v>
      </c>
      <c r="G4" s="63">
        <f>SUMIFS('Form 1.1c'!O:O, 'Form 1.1c'!$B:$B, "City of Vernon")*1000</f>
        <v>1216000</v>
      </c>
      <c r="H4" s="67">
        <f>AVERAGE(E4:G4)*(1+$N$9)</f>
        <v>1218969.5028406593</v>
      </c>
      <c r="I4" s="63">
        <f t="shared" si="0"/>
        <v>1223959.3483159835</v>
      </c>
      <c r="J4" s="63">
        <f t="shared" si="0"/>
        <v>1228969.6196984446</v>
      </c>
      <c r="K4" s="63">
        <f t="shared" si="0"/>
        <v>1234000.4006013898</v>
      </c>
      <c r="L4" s="89" t="s">
        <v>222</v>
      </c>
      <c r="N4" s="70">
        <f>0.15</f>
        <v>0.15</v>
      </c>
      <c r="O4" s="89" t="s">
        <v>166</v>
      </c>
    </row>
    <row r="5" spans="1:16" s="60" customFormat="1" ht="28.9" x14ac:dyDescent="0.3">
      <c r="A5" s="105" t="s">
        <v>194</v>
      </c>
      <c r="B5" s="63">
        <f t="shared" ref="B5:K5" si="1">IF(AND(0&lt;(B3-B4)/B3,(B3-B4)/B3&lt;$N$4),B4,B3*(1-$N$5))</f>
        <v>1197000</v>
      </c>
      <c r="C5" s="63">
        <f t="shared" si="1"/>
        <v>1204000</v>
      </c>
      <c r="D5" s="63">
        <f t="shared" si="1"/>
        <v>1208000</v>
      </c>
      <c r="E5" s="63">
        <f t="shared" si="1"/>
        <v>1211000</v>
      </c>
      <c r="F5" s="63">
        <f t="shared" si="1"/>
        <v>1215000</v>
      </c>
      <c r="G5" s="63">
        <f t="shared" si="1"/>
        <v>1216000</v>
      </c>
      <c r="H5" s="63">
        <f t="shared" si="1"/>
        <v>1218969.5028406593</v>
      </c>
      <c r="I5" s="63">
        <f t="shared" si="1"/>
        <v>1223959.3483159835</v>
      </c>
      <c r="J5" s="63">
        <f t="shared" si="1"/>
        <v>1228969.6196984446</v>
      </c>
      <c r="K5" s="63">
        <f t="shared" si="1"/>
        <v>1234000.4006013898</v>
      </c>
      <c r="L5" s="89" t="s">
        <v>223</v>
      </c>
      <c r="N5" s="70">
        <f>0.07</f>
        <v>7.0000000000000007E-2</v>
      </c>
      <c r="O5" s="89" t="s">
        <v>220</v>
      </c>
    </row>
    <row r="6" spans="1:16" s="60" customFormat="1" ht="14.45" x14ac:dyDescent="0.3">
      <c r="A6" s="105" t="s">
        <v>171</v>
      </c>
      <c r="B6" s="63">
        <v>0</v>
      </c>
      <c r="C6" s="63">
        <v>0</v>
      </c>
      <c r="D6" s="63">
        <v>0</v>
      </c>
      <c r="E6" s="63">
        <v>0</v>
      </c>
      <c r="F6" s="63">
        <v>0</v>
      </c>
      <c r="G6" s="63">
        <v>0</v>
      </c>
      <c r="H6" s="63">
        <v>0</v>
      </c>
      <c r="I6" s="63">
        <v>0</v>
      </c>
      <c r="J6" s="63">
        <v>0</v>
      </c>
      <c r="K6" s="63">
        <v>0</v>
      </c>
      <c r="L6" s="120" t="s">
        <v>242</v>
      </c>
      <c r="N6" s="65">
        <v>0.05</v>
      </c>
      <c r="O6" s="89" t="s">
        <v>204</v>
      </c>
    </row>
    <row r="7" spans="1:16" s="60" customFormat="1" ht="43.15" x14ac:dyDescent="0.3">
      <c r="A7" s="105" t="s">
        <v>172</v>
      </c>
      <c r="B7" s="63">
        <v>92745.999999999985</v>
      </c>
      <c r="C7" s="63">
        <v>92745.999999999985</v>
      </c>
      <c r="D7" s="63">
        <v>92745.999999999985</v>
      </c>
      <c r="E7" s="63">
        <v>92745.999999999985</v>
      </c>
      <c r="F7" s="63">
        <f>AVERAGE(C7:E7)</f>
        <v>92745.999999999985</v>
      </c>
      <c r="G7" s="63">
        <f>F7</f>
        <v>92745.999999999985</v>
      </c>
      <c r="H7" s="63">
        <f t="shared" ref="H7:K8" si="2">G7</f>
        <v>92745.999999999985</v>
      </c>
      <c r="I7" s="63">
        <f t="shared" si="2"/>
        <v>92745.999999999985</v>
      </c>
      <c r="J7" s="63">
        <f t="shared" si="2"/>
        <v>92745.999999999985</v>
      </c>
      <c r="K7" s="63">
        <f t="shared" si="2"/>
        <v>92745.999999999985</v>
      </c>
      <c r="L7" s="89" t="s">
        <v>256</v>
      </c>
      <c r="N7" s="86">
        <v>0.85099999999999998</v>
      </c>
      <c r="O7" s="89" t="s">
        <v>168</v>
      </c>
    </row>
    <row r="8" spans="1:16" s="60" customFormat="1" ht="28.9" x14ac:dyDescent="0.3">
      <c r="A8" s="105" t="s">
        <v>173</v>
      </c>
      <c r="B8" s="67">
        <v>25000</v>
      </c>
      <c r="C8" s="67">
        <v>25000</v>
      </c>
      <c r="D8" s="67">
        <v>25000</v>
      </c>
      <c r="E8" s="67">
        <v>25000</v>
      </c>
      <c r="F8" s="63">
        <f>AVERAGE(C8:E8)</f>
        <v>25000</v>
      </c>
      <c r="G8" s="63">
        <f>F8</f>
        <v>25000</v>
      </c>
      <c r="H8" s="63">
        <f t="shared" si="2"/>
        <v>25000</v>
      </c>
      <c r="I8" s="63">
        <f t="shared" si="2"/>
        <v>25000</v>
      </c>
      <c r="J8" s="63">
        <f t="shared" si="2"/>
        <v>25000</v>
      </c>
      <c r="K8" s="63">
        <f t="shared" si="2"/>
        <v>25000</v>
      </c>
      <c r="L8" s="89" t="s">
        <v>251</v>
      </c>
      <c r="O8" s="107"/>
    </row>
    <row r="9" spans="1:16" s="60" customFormat="1" ht="28.9" x14ac:dyDescent="0.3">
      <c r="A9" s="105" t="s">
        <v>153</v>
      </c>
      <c r="B9" s="73">
        <v>0.34</v>
      </c>
      <c r="C9" s="59">
        <v>0.36</v>
      </c>
      <c r="D9" s="59">
        <v>0.37</v>
      </c>
      <c r="E9" s="59">
        <v>0.39</v>
      </c>
      <c r="F9" s="59">
        <v>0.41</v>
      </c>
      <c r="G9" s="59">
        <v>0.42</v>
      </c>
      <c r="H9" s="59">
        <v>0.44</v>
      </c>
      <c r="I9" s="59">
        <v>0.46</v>
      </c>
      <c r="J9" s="59">
        <v>0.48</v>
      </c>
      <c r="K9" s="59">
        <v>0.5</v>
      </c>
      <c r="L9" s="89" t="s">
        <v>248</v>
      </c>
      <c r="N9" s="66">
        <v>4.0934949264079812E-3</v>
      </c>
      <c r="O9" s="89" t="s">
        <v>206</v>
      </c>
    </row>
    <row r="10" spans="1:16" s="60" customFormat="1" ht="15.6" x14ac:dyDescent="0.3">
      <c r="A10" s="105" t="s">
        <v>174</v>
      </c>
      <c r="B10" s="63">
        <f>B5*B9</f>
        <v>406980.00000000006</v>
      </c>
      <c r="C10" s="63">
        <f t="shared" ref="C10:K10" si="3">C5*C9</f>
        <v>433440</v>
      </c>
      <c r="D10" s="63">
        <f t="shared" si="3"/>
        <v>446960</v>
      </c>
      <c r="E10" s="63">
        <f t="shared" si="3"/>
        <v>472290</v>
      </c>
      <c r="F10" s="63">
        <f t="shared" si="3"/>
        <v>498149.99999999994</v>
      </c>
      <c r="G10" s="63">
        <f t="shared" si="3"/>
        <v>510720</v>
      </c>
      <c r="H10" s="63">
        <f t="shared" si="3"/>
        <v>536346.58124989015</v>
      </c>
      <c r="I10" s="63">
        <f t="shared" si="3"/>
        <v>563021.3002253524</v>
      </c>
      <c r="J10" s="63">
        <f t="shared" si="3"/>
        <v>589905.41745525342</v>
      </c>
      <c r="K10" s="63">
        <f t="shared" si="3"/>
        <v>617000.20030069491</v>
      </c>
      <c r="L10" s="89" t="s">
        <v>207</v>
      </c>
      <c r="N10" s="68"/>
      <c r="O10" s="62"/>
    </row>
    <row r="11" spans="1:16" s="60" customFormat="1" ht="28.9" x14ac:dyDescent="0.3">
      <c r="A11" s="105" t="s">
        <v>175</v>
      </c>
      <c r="B11" s="63">
        <f t="shared" ref="B11:K11" si="4">MAX(B3-SUM(B6:B8,B10), B3*$N$6)</f>
        <v>751274</v>
      </c>
      <c r="C11" s="63">
        <f t="shared" si="4"/>
        <v>732814</v>
      </c>
      <c r="D11" s="63">
        <f t="shared" si="4"/>
        <v>723294</v>
      </c>
      <c r="E11" s="63">
        <f t="shared" si="4"/>
        <v>700964</v>
      </c>
      <c r="F11" s="63">
        <f t="shared" si="4"/>
        <v>679104.00000000012</v>
      </c>
      <c r="G11" s="63">
        <f t="shared" si="4"/>
        <v>667534</v>
      </c>
      <c r="H11" s="63">
        <f t="shared" si="4"/>
        <v>645204.4011848818</v>
      </c>
      <c r="I11" s="63">
        <f t="shared" si="4"/>
        <v>623848.34781491361</v>
      </c>
      <c r="J11" s="63">
        <f t="shared" si="4"/>
        <v>602304.66812117794</v>
      </c>
      <c r="K11" s="63">
        <f t="shared" si="4"/>
        <v>580572.1838658608</v>
      </c>
      <c r="L11" s="89" t="s">
        <v>208</v>
      </c>
      <c r="N11" s="68"/>
      <c r="O11" s="62"/>
    </row>
    <row r="12" spans="1:16" s="60" customFormat="1" ht="43.9" x14ac:dyDescent="0.35">
      <c r="A12" s="105" t="s">
        <v>197</v>
      </c>
      <c r="B12" s="63">
        <f t="shared" ref="B12:K12" si="5">B6*$N$3+B11*$N$2</f>
        <v>327104.69959999999</v>
      </c>
      <c r="C12" s="63">
        <f t="shared" si="5"/>
        <v>319067.2156</v>
      </c>
      <c r="D12" s="63">
        <f t="shared" si="5"/>
        <v>314922.20760000002</v>
      </c>
      <c r="E12" s="63">
        <f t="shared" si="5"/>
        <v>305199.72560000001</v>
      </c>
      <c r="F12" s="63">
        <f t="shared" si="5"/>
        <v>295681.88160000008</v>
      </c>
      <c r="G12" s="63">
        <f t="shared" si="5"/>
        <v>290644.30359999998</v>
      </c>
      <c r="H12" s="63">
        <f t="shared" si="5"/>
        <v>280921.99627589755</v>
      </c>
      <c r="I12" s="63">
        <f t="shared" si="5"/>
        <v>271623.57063861337</v>
      </c>
      <c r="J12" s="63">
        <f t="shared" si="5"/>
        <v>262243.4524999609</v>
      </c>
      <c r="K12" s="63">
        <f t="shared" si="5"/>
        <v>252781.1288551958</v>
      </c>
      <c r="L12" s="108" t="s">
        <v>209</v>
      </c>
    </row>
    <row r="13" spans="1:16" s="60" customFormat="1" ht="86.45" x14ac:dyDescent="0.3">
      <c r="A13" s="105"/>
      <c r="B13" s="146" t="s">
        <v>210</v>
      </c>
      <c r="C13" s="147"/>
      <c r="D13" s="147"/>
      <c r="E13" s="147"/>
      <c r="F13" s="147"/>
      <c r="G13" s="147"/>
      <c r="H13" s="147"/>
      <c r="I13" s="147"/>
      <c r="J13" s="148"/>
      <c r="K13" s="87">
        <v>104729.39538513625</v>
      </c>
      <c r="L13" s="108" t="s">
        <v>216</v>
      </c>
    </row>
    <row r="14" spans="1:16"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row>
    <row r="15" spans="1:16" s="60" customFormat="1" ht="28.9" x14ac:dyDescent="0.3">
      <c r="A15" s="105" t="s">
        <v>198</v>
      </c>
      <c r="B15" s="88">
        <f t="shared" ref="B15:K15" si="6">$K$13*B14</f>
        <v>85563.916029656306</v>
      </c>
      <c r="C15" s="88">
        <f t="shared" si="6"/>
        <v>82003.116586561679</v>
      </c>
      <c r="D15" s="88">
        <f t="shared" si="6"/>
        <v>78442.317143467051</v>
      </c>
      <c r="E15" s="88">
        <f t="shared" si="6"/>
        <v>74881.517700372409</v>
      </c>
      <c r="F15" s="88">
        <f t="shared" si="6"/>
        <v>71320.718257277782</v>
      </c>
      <c r="G15" s="88">
        <f t="shared" si="6"/>
        <v>67759.918814183155</v>
      </c>
      <c r="H15" s="88">
        <f t="shared" si="6"/>
        <v>64303.848766473653</v>
      </c>
      <c r="I15" s="88">
        <f t="shared" si="6"/>
        <v>60743.049323379018</v>
      </c>
      <c r="J15" s="88">
        <f t="shared" si="6"/>
        <v>57182.249880284391</v>
      </c>
      <c r="K15" s="88">
        <f t="shared" si="6"/>
        <v>53516.721041804623</v>
      </c>
      <c r="L15" s="108" t="s">
        <v>211</v>
      </c>
    </row>
    <row r="16" spans="1:16" s="60" customFormat="1" ht="30" x14ac:dyDescent="0.35">
      <c r="A16" s="105" t="s">
        <v>199</v>
      </c>
      <c r="B16" s="82">
        <f t="shared" ref="B16:K16" si="7">B12/B3</f>
        <v>0.25635164545454547</v>
      </c>
      <c r="C16" s="82">
        <f t="shared" si="7"/>
        <v>0.24849471619937694</v>
      </c>
      <c r="D16" s="82">
        <f t="shared" si="7"/>
        <v>0.24450481956521741</v>
      </c>
      <c r="E16" s="82">
        <f t="shared" si="7"/>
        <v>0.23640567436096049</v>
      </c>
      <c r="F16" s="82">
        <f t="shared" si="7"/>
        <v>0.22832577729729736</v>
      </c>
      <c r="G16" s="82">
        <f t="shared" si="7"/>
        <v>0.22426257993827159</v>
      </c>
      <c r="H16" s="82">
        <f t="shared" si="7"/>
        <v>0.21621076634032785</v>
      </c>
      <c r="I16" s="82">
        <f t="shared" si="7"/>
        <v>0.2082019873413552</v>
      </c>
      <c r="J16" s="82">
        <f t="shared" si="7"/>
        <v>0.20019255255000676</v>
      </c>
      <c r="K16" s="82">
        <f t="shared" si="7"/>
        <v>0.19218246463982117</v>
      </c>
      <c r="L16" s="89" t="s">
        <v>212</v>
      </c>
    </row>
    <row r="17" spans="1:14" s="60" customFormat="1" ht="30.6" thickBot="1" x14ac:dyDescent="0.4">
      <c r="A17" s="105" t="s">
        <v>200</v>
      </c>
      <c r="B17" s="81">
        <f>B15*B16</f>
        <v>21934.450665736953</v>
      </c>
      <c r="C17" s="81">
        <f t="shared" ref="C17:K17" si="8">C15*C16</f>
        <v>20377.341183642064</v>
      </c>
      <c r="D17" s="81">
        <f t="shared" si="8"/>
        <v>19179.524599440971</v>
      </c>
      <c r="E17" s="81">
        <f t="shared" si="8"/>
        <v>17702.415689128738</v>
      </c>
      <c r="F17" s="81">
        <f t="shared" si="8"/>
        <v>16284.358433494497</v>
      </c>
      <c r="G17" s="81">
        <f t="shared" si="8"/>
        <v>15196.014209676543</v>
      </c>
      <c r="H17" s="81">
        <f t="shared" si="8"/>
        <v>13903.184420431815</v>
      </c>
      <c r="I17" s="81">
        <f t="shared" si="8"/>
        <v>12646.823586301472</v>
      </c>
      <c r="J17" s="81">
        <f t="shared" si="8"/>
        <v>11447.46056408645</v>
      </c>
      <c r="K17" s="81">
        <f t="shared" si="8"/>
        <v>10284.97534925579</v>
      </c>
      <c r="L17" s="89" t="s">
        <v>213</v>
      </c>
    </row>
    <row r="18" spans="1:14" ht="43.9" thickBot="1" x14ac:dyDescent="0.35">
      <c r="A18" s="128" t="s">
        <v>201</v>
      </c>
      <c r="B18" s="84">
        <f t="shared" ref="B18:K18" si="9">B12*(B14/$N$7)-B17</f>
        <v>292101.43602427479</v>
      </c>
      <c r="C18" s="84">
        <f t="shared" si="9"/>
        <v>273194.49173621694</v>
      </c>
      <c r="D18" s="84">
        <f t="shared" si="9"/>
        <v>257996.42545038275</v>
      </c>
      <c r="E18" s="84">
        <f t="shared" si="9"/>
        <v>238722.73566692296</v>
      </c>
      <c r="F18" s="84">
        <f t="shared" si="9"/>
        <v>220330.63730046566</v>
      </c>
      <c r="G18" s="84">
        <f t="shared" si="9"/>
        <v>205775.62436752676</v>
      </c>
      <c r="H18" s="84">
        <f t="shared" si="9"/>
        <v>188783.19127099132</v>
      </c>
      <c r="I18" s="84">
        <f t="shared" si="9"/>
        <v>172478.52420499787</v>
      </c>
      <c r="J18" s="84">
        <f t="shared" si="9"/>
        <v>156807.4455052187</v>
      </c>
      <c r="K18" s="84">
        <f t="shared" si="9"/>
        <v>141502.51800562677</v>
      </c>
      <c r="L18" s="93" t="s">
        <v>214</v>
      </c>
    </row>
    <row r="19" spans="1:14" x14ac:dyDescent="0.25">
      <c r="A19" s="85"/>
      <c r="B19" s="85"/>
      <c r="C19" s="85"/>
      <c r="D19" s="85"/>
      <c r="E19" s="85"/>
      <c r="F19" s="85"/>
      <c r="G19" s="85"/>
      <c r="H19" s="85"/>
      <c r="I19" s="85"/>
      <c r="J19" s="85"/>
      <c r="K19" s="85"/>
    </row>
    <row r="20" spans="1:14" x14ac:dyDescent="0.25">
      <c r="B20" s="1"/>
      <c r="D20" s="1"/>
      <c r="E20" s="1"/>
      <c r="F20" s="2"/>
      <c r="G20" s="2"/>
      <c r="H20" s="1"/>
      <c r="I20" s="1"/>
      <c r="J20" s="1"/>
      <c r="K20" s="1"/>
      <c r="L20" s="122"/>
      <c r="M20" s="1"/>
    </row>
    <row r="21" spans="1:14" x14ac:dyDescent="0.25">
      <c r="B21" s="5"/>
      <c r="C21" s="1"/>
      <c r="D21" s="6"/>
      <c r="E21" s="6"/>
      <c r="F21" s="6"/>
      <c r="G21" s="6"/>
      <c r="H21" s="6"/>
      <c r="I21" s="6"/>
      <c r="J21" s="6"/>
      <c r="K21" s="6"/>
      <c r="L21" s="123"/>
      <c r="M21" s="6"/>
    </row>
    <row r="23" spans="1:14" x14ac:dyDescent="0.25">
      <c r="B23" s="1"/>
      <c r="D23" s="6"/>
      <c r="E23" s="6"/>
      <c r="F23" s="6"/>
      <c r="G23" s="6"/>
      <c r="H23" s="6"/>
      <c r="I23" s="6"/>
      <c r="J23" s="6"/>
      <c r="K23" s="6"/>
      <c r="L23" s="123"/>
      <c r="M23" s="6"/>
    </row>
    <row r="24" spans="1:14" x14ac:dyDescent="0.25">
      <c r="D24" s="6"/>
      <c r="E24" s="6"/>
      <c r="F24" s="6"/>
      <c r="G24" s="6"/>
      <c r="H24" s="6"/>
      <c r="I24" s="6"/>
      <c r="J24" s="6"/>
      <c r="K24" s="6"/>
      <c r="L24" s="123"/>
      <c r="M24" s="6"/>
    </row>
    <row r="25" spans="1:14" x14ac:dyDescent="0.25">
      <c r="D25" s="6"/>
      <c r="E25" s="6"/>
      <c r="F25" s="6"/>
      <c r="G25" s="6"/>
      <c r="H25" s="6"/>
      <c r="I25" s="6"/>
      <c r="J25" s="6"/>
      <c r="K25" s="6"/>
      <c r="L25" s="123"/>
      <c r="M25" s="6"/>
    </row>
    <row r="27" spans="1:14" x14ac:dyDescent="0.25">
      <c r="B27" s="5"/>
      <c r="C27" s="1"/>
      <c r="D27" s="6"/>
      <c r="E27" s="6"/>
      <c r="F27" s="6"/>
      <c r="G27" s="6"/>
      <c r="H27" s="6"/>
      <c r="I27" s="6"/>
      <c r="J27" s="6"/>
      <c r="K27" s="6"/>
      <c r="L27" s="123"/>
      <c r="M27" s="6"/>
    </row>
    <row r="28" spans="1:14" x14ac:dyDescent="0.25">
      <c r="B28" s="5"/>
      <c r="C28" s="1"/>
      <c r="D28" s="6"/>
      <c r="E28" s="6"/>
      <c r="F28" s="6"/>
      <c r="G28" s="6"/>
      <c r="H28" s="6"/>
      <c r="I28" s="6"/>
      <c r="J28" s="6"/>
      <c r="K28" s="6"/>
      <c r="L28" s="123"/>
      <c r="M28" s="6"/>
      <c r="N28" s="2"/>
    </row>
    <row r="29" spans="1:14" x14ac:dyDescent="0.25">
      <c r="B29" s="5"/>
      <c r="C29" s="1"/>
      <c r="D29" s="6"/>
      <c r="E29" s="6"/>
      <c r="F29" s="6"/>
      <c r="G29" s="6"/>
      <c r="H29" s="6"/>
      <c r="I29" s="6"/>
      <c r="J29" s="6"/>
      <c r="K29" s="6"/>
      <c r="L29" s="123"/>
      <c r="M29" s="6"/>
      <c r="N29" s="2"/>
    </row>
    <row r="31" spans="1:14" x14ac:dyDescent="0.25">
      <c r="D31" s="1"/>
      <c r="E31" s="1"/>
      <c r="F31" s="1"/>
      <c r="G31" s="1"/>
      <c r="H31" s="1"/>
      <c r="I31" s="1"/>
      <c r="J31" s="1"/>
      <c r="K31" s="1"/>
      <c r="L31" s="122"/>
      <c r="M31" s="1"/>
    </row>
    <row r="32" spans="1:14" x14ac:dyDescent="0.25">
      <c r="D32" s="1"/>
      <c r="E32" s="1"/>
      <c r="F32" s="2"/>
      <c r="G32" s="2"/>
      <c r="H32" s="2"/>
      <c r="I32" s="2"/>
      <c r="J32" s="2"/>
      <c r="K32" s="2"/>
      <c r="L32" s="121"/>
      <c r="M32" s="2"/>
    </row>
    <row r="33" spans="4:13" x14ac:dyDescent="0.25">
      <c r="D33" s="1"/>
      <c r="E33" s="1"/>
      <c r="F33" s="2"/>
      <c r="G33" s="2"/>
      <c r="H33" s="2"/>
      <c r="I33" s="2"/>
      <c r="J33" s="2"/>
      <c r="K33" s="2"/>
      <c r="L33" s="121"/>
      <c r="M33" s="2"/>
    </row>
    <row r="34" spans="4:13" x14ac:dyDescent="0.25">
      <c r="D34" s="1"/>
      <c r="E34" s="1"/>
      <c r="F34" s="2"/>
      <c r="G34" s="2"/>
      <c r="H34" s="2"/>
      <c r="I34" s="2"/>
      <c r="J34" s="2"/>
      <c r="K34" s="2"/>
      <c r="L34" s="121"/>
      <c r="M34" s="2"/>
    </row>
    <row r="35" spans="4:13" x14ac:dyDescent="0.25">
      <c r="D35" s="1"/>
      <c r="E35" s="1"/>
      <c r="F35" s="2"/>
      <c r="G35" s="2"/>
      <c r="H35" s="2"/>
      <c r="I35" s="2"/>
      <c r="J35" s="2"/>
      <c r="K35" s="2"/>
      <c r="L35" s="121"/>
      <c r="M35" s="2"/>
    </row>
  </sheetData>
  <mergeCells count="3">
    <mergeCell ref="B1:L1"/>
    <mergeCell ref="N1:O1"/>
    <mergeCell ref="B13:J1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43.5703125" customWidth="1"/>
    <col min="2" max="11" width="8" bestFit="1" customWidth="1"/>
    <col min="12" max="12" width="49.28515625" style="3" customWidth="1"/>
    <col min="14" max="14" width="8.7109375" customWidth="1"/>
    <col min="15" max="15" width="42.5703125" customWidth="1"/>
  </cols>
  <sheetData>
    <row r="1" spans="1:18" s="60" customFormat="1" ht="15.6" x14ac:dyDescent="0.3">
      <c r="A1" s="103" t="s">
        <v>105</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v>80342.206404044729</v>
      </c>
      <c r="C3" s="67">
        <f t="shared" ref="C3:G3" si="0">B3*(1+$N$9)</f>
        <v>80681.992003112638</v>
      </c>
      <c r="D3" s="67">
        <f t="shared" si="0"/>
        <v>81023.21463333143</v>
      </c>
      <c r="E3" s="67">
        <f t="shared" si="0"/>
        <v>81365.880372235115</v>
      </c>
      <c r="F3" s="67">
        <f t="shared" si="0"/>
        <v>81709.995323060954</v>
      </c>
      <c r="G3" s="67">
        <f t="shared" si="0"/>
        <v>82055.56561485822</v>
      </c>
      <c r="H3" s="67">
        <f t="shared" ref="H3:K4" si="1">G3*(1+$N$9)</f>
        <v>82402.597402597326</v>
      </c>
      <c r="I3" s="67">
        <f t="shared" si="1"/>
        <v>82751.096867279484</v>
      </c>
      <c r="J3" s="67">
        <f t="shared" si="1"/>
        <v>83101.070216046763</v>
      </c>
      <c r="K3" s="67">
        <f t="shared" si="1"/>
        <v>83452.523682292638</v>
      </c>
      <c r="L3" s="89" t="s">
        <v>219</v>
      </c>
      <c r="N3" s="64">
        <v>0.91839999999999999</v>
      </c>
      <c r="O3" s="9" t="s">
        <v>203</v>
      </c>
    </row>
    <row r="4" spans="1:18" s="60" customFormat="1" ht="62.25" customHeight="1" x14ac:dyDescent="0.3">
      <c r="A4" s="105" t="s">
        <v>170</v>
      </c>
      <c r="B4" s="63">
        <f>SUMIFS('Form 1.1c'!J:J, 'Form 1.1c'!$B:$B, "Victorville Municipal")*1000</f>
        <v>80000</v>
      </c>
      <c r="C4" s="63">
        <f>SUMIFS('Form 1.1c'!K:K, 'Form 1.1c'!$B:$B, "Victorville Municipal")*1000</f>
        <v>80000</v>
      </c>
      <c r="D4" s="63">
        <f>SUMIFS('Form 1.1c'!L:L, 'Form 1.1c'!$B:$B, "Victorville Municipal")*1000</f>
        <v>80000</v>
      </c>
      <c r="E4" s="63">
        <f>SUMIFS('Form 1.1c'!M:M, 'Form 1.1c'!$B:$B, "Victorville Municipal")*1000</f>
        <v>81000</v>
      </c>
      <c r="F4" s="63">
        <f>SUMIFS('Form 1.1c'!N:N, 'Form 1.1c'!$B:$B, "Victorville Municipal")*1000</f>
        <v>81000</v>
      </c>
      <c r="G4" s="63">
        <f>SUMIFS('Form 1.1c'!O:O, 'Form 1.1c'!$B:$B, "Victorville Municipal")*1000</f>
        <v>81000</v>
      </c>
      <c r="H4" s="67">
        <f>AVERAGE(E4:G4)*(1+$N$9)</f>
        <v>81342.567558900337</v>
      </c>
      <c r="I4" s="63">
        <f t="shared" si="1"/>
        <v>81686.583914497096</v>
      </c>
      <c r="J4" s="63">
        <f t="shared" si="1"/>
        <v>82032.05519408347</v>
      </c>
      <c r="K4" s="63">
        <f t="shared" si="1"/>
        <v>82378.987550866368</v>
      </c>
      <c r="L4" s="89" t="s">
        <v>222</v>
      </c>
      <c r="N4" s="70">
        <f>0.15</f>
        <v>0.15</v>
      </c>
      <c r="O4" s="89" t="s">
        <v>166</v>
      </c>
    </row>
    <row r="5" spans="1:18" s="60" customFormat="1" ht="28.9" x14ac:dyDescent="0.3">
      <c r="A5" s="105" t="s">
        <v>194</v>
      </c>
      <c r="B5" s="63">
        <f>IF(AND(0&lt;(B3-B4)/B3,(B3-B4)/B3&lt;$N$4),B4,B3*(1-$N$5))</f>
        <v>80000</v>
      </c>
      <c r="C5" s="63">
        <f t="shared" ref="C5:K5" si="2">IF(AND(0&lt;(C3-C4)/C3,(C3-C4)/C3&lt;$N$4),C4,C3*(1-$N$5))</f>
        <v>80000</v>
      </c>
      <c r="D5" s="63">
        <f t="shared" si="2"/>
        <v>80000</v>
      </c>
      <c r="E5" s="63">
        <f t="shared" si="2"/>
        <v>81000</v>
      </c>
      <c r="F5" s="63">
        <f t="shared" si="2"/>
        <v>81000</v>
      </c>
      <c r="G5" s="63">
        <f t="shared" si="2"/>
        <v>81000</v>
      </c>
      <c r="H5" s="63">
        <f t="shared" si="2"/>
        <v>81342.567558900337</v>
      </c>
      <c r="I5" s="63">
        <f t="shared" si="2"/>
        <v>81686.583914497096</v>
      </c>
      <c r="J5" s="63">
        <f t="shared" si="2"/>
        <v>82032.05519408347</v>
      </c>
      <c r="K5" s="63">
        <f t="shared" si="2"/>
        <v>82378.987550866368</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14.45" x14ac:dyDescent="0.3">
      <c r="A8" s="105" t="s">
        <v>173</v>
      </c>
      <c r="B8" s="63">
        <v>0</v>
      </c>
      <c r="C8" s="63">
        <v>0</v>
      </c>
      <c r="D8" s="63">
        <v>0</v>
      </c>
      <c r="E8" s="63">
        <v>0</v>
      </c>
      <c r="F8" s="63">
        <v>0</v>
      </c>
      <c r="G8" s="63">
        <v>0</v>
      </c>
      <c r="H8" s="63">
        <v>0</v>
      </c>
      <c r="I8" s="63">
        <v>0</v>
      </c>
      <c r="J8" s="63">
        <v>0</v>
      </c>
      <c r="K8" s="63">
        <v>0</v>
      </c>
      <c r="L8" s="120" t="s">
        <v>246</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4.2292291222263412E-3</v>
      </c>
      <c r="O9" s="89" t="s">
        <v>206</v>
      </c>
    </row>
    <row r="10" spans="1:18" s="60" customFormat="1" ht="15.6" x14ac:dyDescent="0.3">
      <c r="A10" s="105" t="s">
        <v>174</v>
      </c>
      <c r="B10" s="63">
        <f>B5*B9</f>
        <v>27200.000000000004</v>
      </c>
      <c r="C10" s="63">
        <f t="shared" ref="C10:K10" si="3">C5*C9</f>
        <v>28800</v>
      </c>
      <c r="D10" s="63">
        <f t="shared" si="3"/>
        <v>29600</v>
      </c>
      <c r="E10" s="63">
        <f t="shared" si="3"/>
        <v>31590</v>
      </c>
      <c r="F10" s="63">
        <f t="shared" si="3"/>
        <v>33210</v>
      </c>
      <c r="G10" s="63">
        <f t="shared" si="3"/>
        <v>34020</v>
      </c>
      <c r="H10" s="63">
        <f t="shared" si="3"/>
        <v>35790.72972591615</v>
      </c>
      <c r="I10" s="63">
        <f t="shared" si="3"/>
        <v>37575.828600668669</v>
      </c>
      <c r="J10" s="63">
        <f t="shared" si="3"/>
        <v>39375.386493160062</v>
      </c>
      <c r="K10" s="63">
        <f t="shared" si="3"/>
        <v>41189.493775433184</v>
      </c>
      <c r="L10" s="89" t="s">
        <v>207</v>
      </c>
      <c r="N10" s="68"/>
      <c r="O10" s="62"/>
    </row>
    <row r="11" spans="1:18" s="60" customFormat="1" ht="28.9" x14ac:dyDescent="0.3">
      <c r="A11" s="105" t="s">
        <v>175</v>
      </c>
      <c r="B11" s="63">
        <f t="shared" ref="B11:K11" si="4">MAX(B3-SUM(B6:B8,B10), B3*$N$6)</f>
        <v>53142.206404044729</v>
      </c>
      <c r="C11" s="63">
        <f t="shared" si="4"/>
        <v>51881.992003112638</v>
      </c>
      <c r="D11" s="63">
        <f t="shared" si="4"/>
        <v>51423.21463333143</v>
      </c>
      <c r="E11" s="63">
        <f t="shared" si="4"/>
        <v>49775.880372235115</v>
      </c>
      <c r="F11" s="63">
        <f t="shared" si="4"/>
        <v>48499.995323060954</v>
      </c>
      <c r="G11" s="63">
        <f t="shared" si="4"/>
        <v>48035.56561485822</v>
      </c>
      <c r="H11" s="63">
        <f t="shared" si="4"/>
        <v>46611.867676681177</v>
      </c>
      <c r="I11" s="63">
        <f t="shared" si="4"/>
        <v>45175.268266610816</v>
      </c>
      <c r="J11" s="63">
        <f t="shared" si="4"/>
        <v>43725.683722886701</v>
      </c>
      <c r="K11" s="63">
        <f t="shared" si="4"/>
        <v>42263.029906859454</v>
      </c>
      <c r="L11" s="89" t="s">
        <v>208</v>
      </c>
      <c r="N11" s="68"/>
      <c r="O11" s="62"/>
    </row>
    <row r="12" spans="1:18" s="60" customFormat="1" ht="43.9" x14ac:dyDescent="0.35">
      <c r="A12" s="105" t="s">
        <v>197</v>
      </c>
      <c r="B12" s="63">
        <f t="shared" ref="B12:K12" si="5">B6*$N$3+B11*$N$2</f>
        <v>23138.116668321076</v>
      </c>
      <c r="C12" s="63">
        <f t="shared" si="5"/>
        <v>22589.419318155244</v>
      </c>
      <c r="D12" s="63">
        <f t="shared" si="5"/>
        <v>22389.667651352505</v>
      </c>
      <c r="E12" s="63">
        <f t="shared" si="5"/>
        <v>21672.418314071168</v>
      </c>
      <c r="F12" s="63">
        <f t="shared" si="5"/>
        <v>21116.89796366074</v>
      </c>
      <c r="G12" s="63">
        <f t="shared" si="5"/>
        <v>20914.685268709269</v>
      </c>
      <c r="H12" s="63">
        <f t="shared" si="5"/>
        <v>20294.807186426984</v>
      </c>
      <c r="I12" s="63">
        <f t="shared" si="5"/>
        <v>19669.311803282351</v>
      </c>
      <c r="J12" s="63">
        <f t="shared" si="5"/>
        <v>19038.162692944868</v>
      </c>
      <c r="K12" s="63">
        <f t="shared" si="5"/>
        <v>18401.323221446608</v>
      </c>
      <c r="L12" s="108" t="s">
        <v>209</v>
      </c>
    </row>
    <row r="13" spans="1:18" s="60" customFormat="1" ht="86.45" customHeight="1"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8" s="60" customFormat="1" ht="15.6" x14ac:dyDescent="0.35">
      <c r="A16" s="105" t="s">
        <v>199</v>
      </c>
      <c r="B16" s="82">
        <f t="shared" ref="B16:K16" si="7">B12/B3</f>
        <v>0.28799453866076818</v>
      </c>
      <c r="C16" s="82">
        <f t="shared" si="7"/>
        <v>0.27998093201868102</v>
      </c>
      <c r="D16" s="82">
        <f t="shared" si="7"/>
        <v>0.27633645187587774</v>
      </c>
      <c r="E16" s="82">
        <f t="shared" si="7"/>
        <v>0.2663575716863571</v>
      </c>
      <c r="F16" s="82">
        <f t="shared" si="7"/>
        <v>0.2584371456658367</v>
      </c>
      <c r="G16" s="82">
        <f t="shared" si="7"/>
        <v>0.25488442023391694</v>
      </c>
      <c r="H16" s="82">
        <f t="shared" si="7"/>
        <v>0.24628844024505583</v>
      </c>
      <c r="I16" s="82">
        <f t="shared" si="7"/>
        <v>0.23769246025619475</v>
      </c>
      <c r="J16" s="82">
        <f t="shared" si="7"/>
        <v>0.2290964802673337</v>
      </c>
      <c r="K16" s="82">
        <f t="shared" si="7"/>
        <v>0.22050050027847259</v>
      </c>
      <c r="L16" s="89" t="s">
        <v>212</v>
      </c>
    </row>
    <row r="17" spans="1:18" s="60" customFormat="1" ht="30"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8" ht="43.9" thickBot="1" x14ac:dyDescent="0.35">
      <c r="A18" s="128" t="s">
        <v>201</v>
      </c>
      <c r="B18" s="84">
        <f t="shared" ref="B18:K18" si="9">B12*(B14/$N$7)-B17</f>
        <v>22213.679574639624</v>
      </c>
      <c r="C18" s="84">
        <f t="shared" si="9"/>
        <v>20784.389337386081</v>
      </c>
      <c r="D18" s="84">
        <f t="shared" si="9"/>
        <v>19706.064713117539</v>
      </c>
      <c r="E18" s="84">
        <f t="shared" si="9"/>
        <v>18208.906104066846</v>
      </c>
      <c r="F18" s="84">
        <f t="shared" si="9"/>
        <v>16898.481214163297</v>
      </c>
      <c r="G18" s="84">
        <f t="shared" si="9"/>
        <v>15901.059187843592</v>
      </c>
      <c r="H18" s="84">
        <f t="shared" si="9"/>
        <v>14642.786853661772</v>
      </c>
      <c r="I18" s="84">
        <f t="shared" si="9"/>
        <v>13405.6414170432</v>
      </c>
      <c r="J18" s="84">
        <f t="shared" si="9"/>
        <v>12214.849389362984</v>
      </c>
      <c r="K18" s="84">
        <f t="shared" si="9"/>
        <v>11049.443203477342</v>
      </c>
      <c r="L18" s="93" t="s">
        <v>214</v>
      </c>
      <c r="N18" s="60"/>
      <c r="O18" s="60"/>
      <c r="P18" s="60"/>
      <c r="Q18" s="60"/>
      <c r="R18" s="60"/>
    </row>
    <row r="19" spans="1:18" ht="14.45" x14ac:dyDescent="0.3">
      <c r="A19" s="85"/>
      <c r="B19" s="85"/>
      <c r="C19" s="85"/>
      <c r="D19" s="85"/>
      <c r="E19" s="85"/>
      <c r="F19" s="85"/>
      <c r="G19" s="85"/>
      <c r="H19" s="85"/>
      <c r="I19" s="85"/>
      <c r="J19" s="85"/>
      <c r="K19" s="85"/>
    </row>
  </sheetData>
  <mergeCells count="3">
    <mergeCell ref="B1:L1"/>
    <mergeCell ref="N1:O1"/>
    <mergeCell ref="B13:J1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39.85546875" customWidth="1"/>
    <col min="2" max="11" width="8" bestFit="1" customWidth="1"/>
    <col min="12" max="12" width="52.140625" style="3" customWidth="1"/>
    <col min="14" max="14" width="8.7109375" customWidth="1"/>
    <col min="15" max="15" width="43.5703125" customWidth="1"/>
  </cols>
  <sheetData>
    <row r="1" spans="1:18" s="60" customFormat="1" ht="15.6" x14ac:dyDescent="0.3">
      <c r="A1" s="103" t="s">
        <v>16</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v>25777.543514154604</v>
      </c>
      <c r="C3" s="67">
        <f t="shared" ref="C3:G3" si="0">B3*(1+$N$9)</f>
        <v>25883.392566588383</v>
      </c>
      <c r="D3" s="67">
        <f t="shared" si="0"/>
        <v>25989.676261752764</v>
      </c>
      <c r="E3" s="67">
        <f t="shared" si="0"/>
        <v>26096.396384399697</v>
      </c>
      <c r="F3" s="67">
        <f t="shared" si="0"/>
        <v>26203.554726609778</v>
      </c>
      <c r="G3" s="67">
        <f t="shared" si="0"/>
        <v>26311.153087822331</v>
      </c>
      <c r="H3" s="67">
        <f>G3*(1+$N$9)</f>
        <v>26419.193274865633</v>
      </c>
      <c r="I3" s="67">
        <f>H3*(1+$N$9)</f>
        <v>26527.677101987247</v>
      </c>
      <c r="J3" s="67">
        <f>I3*(1+$N$9)</f>
        <v>26636.606390884492</v>
      </c>
      <c r="K3" s="67">
        <f>J3*(1+$N$9)</f>
        <v>26745.982970735033</v>
      </c>
      <c r="L3" s="89" t="s">
        <v>219</v>
      </c>
      <c r="N3" s="64">
        <v>0.91839999999999999</v>
      </c>
      <c r="O3" s="9" t="s">
        <v>203</v>
      </c>
    </row>
    <row r="4" spans="1:18" s="60" customFormat="1" ht="28.9" x14ac:dyDescent="0.3">
      <c r="A4" s="105" t="s">
        <v>170</v>
      </c>
      <c r="B4" s="63">
        <f>B3*(1-$N$5)</f>
        <v>23973.115468163782</v>
      </c>
      <c r="C4" s="63">
        <f t="shared" ref="C4:K4" si="1">C3*(1-$N$5)</f>
        <v>24071.555086927194</v>
      </c>
      <c r="D4" s="63">
        <f t="shared" si="1"/>
        <v>24170.398923430068</v>
      </c>
      <c r="E4" s="63">
        <f t="shared" si="1"/>
        <v>24269.648637491715</v>
      </c>
      <c r="F4" s="63">
        <f t="shared" si="1"/>
        <v>24369.305895747093</v>
      </c>
      <c r="G4" s="63">
        <f t="shared" si="1"/>
        <v>24469.372371674766</v>
      </c>
      <c r="H4" s="63">
        <f t="shared" si="1"/>
        <v>24569.849745625037</v>
      </c>
      <c r="I4" s="63">
        <f t="shared" si="1"/>
        <v>24670.739704848136</v>
      </c>
      <c r="J4" s="63">
        <f t="shared" si="1"/>
        <v>24772.043943522574</v>
      </c>
      <c r="K4" s="63">
        <f t="shared" si="1"/>
        <v>24873.76416278358</v>
      </c>
      <c r="L4" s="89" t="s">
        <v>250</v>
      </c>
      <c r="N4" s="70">
        <f>0.15</f>
        <v>0.15</v>
      </c>
      <c r="O4" s="89" t="s">
        <v>166</v>
      </c>
    </row>
    <row r="5" spans="1:18" s="60" customFormat="1" ht="14.45" x14ac:dyDescent="0.3">
      <c r="A5" s="105" t="s">
        <v>194</v>
      </c>
      <c r="B5" s="63">
        <f>IF(AND(0&lt;(B3-B4)/B3,(B3-B4)/B3&lt;$N$4),B4,B3*(1-$N$5))</f>
        <v>23973.115468163782</v>
      </c>
      <c r="C5" s="63">
        <f t="shared" ref="C5:K5" si="2">IF(AND(0&lt;(C3-C4)/C3,(C3-C4)/C3&lt;$N$4),C4,C3*(1-$N$5))</f>
        <v>24071.555086927194</v>
      </c>
      <c r="D5" s="63">
        <f t="shared" si="2"/>
        <v>24170.398923430068</v>
      </c>
      <c r="E5" s="63">
        <f t="shared" si="2"/>
        <v>24269.648637491715</v>
      </c>
      <c r="F5" s="63">
        <f t="shared" si="2"/>
        <v>24369.305895747093</v>
      </c>
      <c r="G5" s="63">
        <f t="shared" si="2"/>
        <v>24469.372371674766</v>
      </c>
      <c r="H5" s="63">
        <f t="shared" si="2"/>
        <v>24569.849745625037</v>
      </c>
      <c r="I5" s="63">
        <f t="shared" si="2"/>
        <v>24670.739704848136</v>
      </c>
      <c r="J5" s="63">
        <f t="shared" si="2"/>
        <v>24772.043943522574</v>
      </c>
      <c r="K5" s="63">
        <f t="shared" si="2"/>
        <v>24873.76416278358</v>
      </c>
      <c r="L5" s="89" t="s">
        <v>249</v>
      </c>
      <c r="N5" s="70">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14.45" x14ac:dyDescent="0.3">
      <c r="A8" s="105" t="s">
        <v>173</v>
      </c>
      <c r="B8" s="63">
        <v>15815.666666666668</v>
      </c>
      <c r="C8" s="67">
        <f>B8</f>
        <v>15815.666666666668</v>
      </c>
      <c r="D8" s="67">
        <f t="shared" ref="D8:K8" si="3">C8</f>
        <v>15815.666666666668</v>
      </c>
      <c r="E8" s="67">
        <f t="shared" si="3"/>
        <v>15815.666666666668</v>
      </c>
      <c r="F8" s="67">
        <f t="shared" si="3"/>
        <v>15815.666666666668</v>
      </c>
      <c r="G8" s="67">
        <f t="shared" si="3"/>
        <v>15815.666666666668</v>
      </c>
      <c r="H8" s="67">
        <f t="shared" si="3"/>
        <v>15815.666666666668</v>
      </c>
      <c r="I8" s="67">
        <f t="shared" si="3"/>
        <v>15815.666666666668</v>
      </c>
      <c r="J8" s="67">
        <f t="shared" si="3"/>
        <v>15815.666666666668</v>
      </c>
      <c r="K8" s="67">
        <f t="shared" si="3"/>
        <v>15815.666666666668</v>
      </c>
      <c r="L8" s="89" t="s">
        <v>258</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4.1062505578026709E-3</v>
      </c>
      <c r="O9" s="89" t="s">
        <v>206</v>
      </c>
    </row>
    <row r="10" spans="1:18" s="60" customFormat="1" ht="15.6" x14ac:dyDescent="0.3">
      <c r="A10" s="105" t="s">
        <v>174</v>
      </c>
      <c r="B10" s="63">
        <f t="shared" ref="B10:K10" si="4">B5*B9</f>
        <v>8150.859259175686</v>
      </c>
      <c r="C10" s="63">
        <f t="shared" si="4"/>
        <v>8665.7598312937898</v>
      </c>
      <c r="D10" s="63">
        <f t="shared" si="4"/>
        <v>8943.0476016691246</v>
      </c>
      <c r="E10" s="63">
        <f t="shared" si="4"/>
        <v>9465.1629686217693</v>
      </c>
      <c r="F10" s="63">
        <f t="shared" si="4"/>
        <v>9991.4154172563067</v>
      </c>
      <c r="G10" s="63">
        <f t="shared" si="4"/>
        <v>10277.136396103402</v>
      </c>
      <c r="H10" s="63">
        <f t="shared" si="4"/>
        <v>10810.733888075016</v>
      </c>
      <c r="I10" s="63">
        <f t="shared" si="4"/>
        <v>11348.540264230143</v>
      </c>
      <c r="J10" s="63">
        <f t="shared" si="4"/>
        <v>11890.581092890836</v>
      </c>
      <c r="K10" s="63">
        <f t="shared" si="4"/>
        <v>12436.88208139179</v>
      </c>
      <c r="L10" s="89" t="s">
        <v>207</v>
      </c>
      <c r="N10" s="68"/>
      <c r="O10" s="62"/>
    </row>
    <row r="11" spans="1:18" s="60" customFormat="1" ht="28.9" x14ac:dyDescent="0.3">
      <c r="A11" s="105" t="s">
        <v>175</v>
      </c>
      <c r="B11" s="63">
        <f>MAX(B3-SUM(B6:B8,B10), B3*$N$6)</f>
        <v>1811.0175883122502</v>
      </c>
      <c r="C11" s="63">
        <f t="shared" ref="C11:K11" si="5">MAX(C3-SUM(C6:C8,C10), C3*$N$6)</f>
        <v>1401.9660686279276</v>
      </c>
      <c r="D11" s="63">
        <f t="shared" si="5"/>
        <v>1299.4838130876383</v>
      </c>
      <c r="E11" s="63">
        <f t="shared" si="5"/>
        <v>1304.819819219985</v>
      </c>
      <c r="F11" s="63">
        <f t="shared" si="5"/>
        <v>1310.1777363304891</v>
      </c>
      <c r="G11" s="63">
        <f t="shared" si="5"/>
        <v>1315.5576543911166</v>
      </c>
      <c r="H11" s="63">
        <f t="shared" si="5"/>
        <v>1320.9596637432817</v>
      </c>
      <c r="I11" s="63">
        <f t="shared" si="5"/>
        <v>1326.3838550993623</v>
      </c>
      <c r="J11" s="63">
        <f t="shared" si="5"/>
        <v>1331.8303195442247</v>
      </c>
      <c r="K11" s="63">
        <f t="shared" si="5"/>
        <v>1337.2991485367518</v>
      </c>
      <c r="L11" s="89" t="s">
        <v>208</v>
      </c>
      <c r="N11" s="68"/>
      <c r="O11" s="62"/>
    </row>
    <row r="12" spans="1:18" s="60" customFormat="1" ht="43.9" x14ac:dyDescent="0.35">
      <c r="A12" s="105" t="s">
        <v>197</v>
      </c>
      <c r="B12" s="63">
        <f t="shared" ref="B12:K12" si="6">B6*$N$3+B11*$N$2</f>
        <v>788.51705795115379</v>
      </c>
      <c r="C12" s="63">
        <f t="shared" si="6"/>
        <v>610.41602628059968</v>
      </c>
      <c r="D12" s="63">
        <f t="shared" si="6"/>
        <v>565.79525221835775</v>
      </c>
      <c r="E12" s="63">
        <f t="shared" si="6"/>
        <v>568.11854928838147</v>
      </c>
      <c r="F12" s="63">
        <f t="shared" si="6"/>
        <v>570.45138639829497</v>
      </c>
      <c r="G12" s="63">
        <f t="shared" si="6"/>
        <v>572.79380272189212</v>
      </c>
      <c r="H12" s="63">
        <f t="shared" si="6"/>
        <v>575.14583759382481</v>
      </c>
      <c r="I12" s="63">
        <f t="shared" si="6"/>
        <v>577.50753051026243</v>
      </c>
      <c r="J12" s="63">
        <f t="shared" si="6"/>
        <v>579.87892112955547</v>
      </c>
      <c r="K12" s="63">
        <f t="shared" si="6"/>
        <v>582.26004927290171</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7">$K$13*B14</f>
        <v>0</v>
      </c>
      <c r="C15" s="88">
        <f t="shared" si="7"/>
        <v>0</v>
      </c>
      <c r="D15" s="88">
        <f t="shared" si="7"/>
        <v>0</v>
      </c>
      <c r="E15" s="88">
        <f t="shared" si="7"/>
        <v>0</v>
      </c>
      <c r="F15" s="88">
        <f t="shared" si="7"/>
        <v>0</v>
      </c>
      <c r="G15" s="88">
        <f t="shared" si="7"/>
        <v>0</v>
      </c>
      <c r="H15" s="88">
        <f t="shared" si="7"/>
        <v>0</v>
      </c>
      <c r="I15" s="88">
        <f t="shared" si="7"/>
        <v>0</v>
      </c>
      <c r="J15" s="88">
        <f t="shared" si="7"/>
        <v>0</v>
      </c>
      <c r="K15" s="88">
        <f t="shared" si="7"/>
        <v>0</v>
      </c>
      <c r="L15" s="108" t="s">
        <v>211</v>
      </c>
    </row>
    <row r="16" spans="1:18" s="60" customFormat="1" ht="15.6" x14ac:dyDescent="0.35">
      <c r="A16" s="105" t="s">
        <v>199</v>
      </c>
      <c r="B16" s="82">
        <f t="shared" ref="B16:K16" si="8">B12/B3</f>
        <v>3.0589301789682725E-2</v>
      </c>
      <c r="C16" s="82">
        <f t="shared" si="8"/>
        <v>2.3583308281950495E-2</v>
      </c>
      <c r="D16" s="82">
        <f t="shared" si="8"/>
        <v>2.1770000000000005E-2</v>
      </c>
      <c r="E16" s="82">
        <f t="shared" si="8"/>
        <v>2.1770000000000001E-2</v>
      </c>
      <c r="F16" s="82">
        <f t="shared" si="8"/>
        <v>2.1770000000000005E-2</v>
      </c>
      <c r="G16" s="82">
        <f t="shared" si="8"/>
        <v>2.1769999999999998E-2</v>
      </c>
      <c r="H16" s="82">
        <f t="shared" si="8"/>
        <v>2.1769999999999998E-2</v>
      </c>
      <c r="I16" s="82">
        <f t="shared" si="8"/>
        <v>2.1770000000000001E-2</v>
      </c>
      <c r="J16" s="82">
        <f t="shared" si="8"/>
        <v>2.1770000000000005E-2</v>
      </c>
      <c r="K16" s="82">
        <f t="shared" si="8"/>
        <v>2.1770000000000001E-2</v>
      </c>
      <c r="L16" s="89" t="s">
        <v>212</v>
      </c>
    </row>
    <row r="17" spans="1:18" s="60" customFormat="1" ht="30" thickBot="1" x14ac:dyDescent="0.4">
      <c r="A17" s="105" t="s">
        <v>200</v>
      </c>
      <c r="B17" s="81">
        <f>B15*B16</f>
        <v>0</v>
      </c>
      <c r="C17" s="81">
        <f t="shared" ref="C17:K17" si="9">C15*C16</f>
        <v>0</v>
      </c>
      <c r="D17" s="81">
        <f t="shared" si="9"/>
        <v>0</v>
      </c>
      <c r="E17" s="81">
        <f t="shared" si="9"/>
        <v>0</v>
      </c>
      <c r="F17" s="81">
        <f t="shared" si="9"/>
        <v>0</v>
      </c>
      <c r="G17" s="81">
        <f t="shared" si="9"/>
        <v>0</v>
      </c>
      <c r="H17" s="81">
        <f t="shared" si="9"/>
        <v>0</v>
      </c>
      <c r="I17" s="81">
        <f t="shared" si="9"/>
        <v>0</v>
      </c>
      <c r="J17" s="81">
        <f t="shared" si="9"/>
        <v>0</v>
      </c>
      <c r="K17" s="81">
        <f t="shared" si="9"/>
        <v>0</v>
      </c>
      <c r="L17" s="89" t="s">
        <v>213</v>
      </c>
    </row>
    <row r="18" spans="1:18" ht="43.9" thickBot="1" x14ac:dyDescent="0.35">
      <c r="A18" s="128" t="s">
        <v>201</v>
      </c>
      <c r="B18" s="84">
        <f t="shared" ref="B18:K18" si="10">B12*(B14/$N$7)-B17</f>
        <v>757.01343871456243</v>
      </c>
      <c r="C18" s="84">
        <f t="shared" si="10"/>
        <v>561.64012758837782</v>
      </c>
      <c r="D18" s="84">
        <f t="shared" si="10"/>
        <v>497.9796050664512</v>
      </c>
      <c r="E18" s="84">
        <f t="shared" si="10"/>
        <v>477.32639570057904</v>
      </c>
      <c r="F18" s="84">
        <f t="shared" si="10"/>
        <v>456.49517524939944</v>
      </c>
      <c r="G18" s="84">
        <f t="shared" si="10"/>
        <v>435.48483003650318</v>
      </c>
      <c r="H18" s="84">
        <f t="shared" si="10"/>
        <v>414.97008728861152</v>
      </c>
      <c r="I18" s="84">
        <f t="shared" si="10"/>
        <v>393.6009021104021</v>
      </c>
      <c r="J18" s="84">
        <f t="shared" si="10"/>
        <v>372.04922554258206</v>
      </c>
      <c r="K18" s="84">
        <f t="shared" si="10"/>
        <v>349.62971231310553</v>
      </c>
      <c r="L18" s="93" t="s">
        <v>214</v>
      </c>
      <c r="N18" s="60"/>
      <c r="O18" s="60"/>
      <c r="P18" s="60"/>
      <c r="Q18" s="60"/>
      <c r="R18" s="60"/>
    </row>
    <row r="19" spans="1:18" ht="14.45" x14ac:dyDescent="0.3">
      <c r="A19" s="85"/>
      <c r="B19" s="85"/>
      <c r="C19" s="85"/>
      <c r="D19" s="85"/>
      <c r="E19" s="85"/>
      <c r="F19" s="85"/>
      <c r="G19" s="85"/>
      <c r="H19" s="85"/>
      <c r="I19" s="85"/>
      <c r="J19" s="85"/>
      <c r="K19" s="85"/>
    </row>
  </sheetData>
  <mergeCells count="3">
    <mergeCell ref="B1:L1"/>
    <mergeCell ref="N1:O1"/>
    <mergeCell ref="B13:J1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heetViews>
  <sheetFormatPr defaultRowHeight="15" x14ac:dyDescent="0.25"/>
  <cols>
    <col min="1" max="1" width="32.5703125" customWidth="1"/>
    <col min="2" max="11" width="9" bestFit="1" customWidth="1"/>
    <col min="12" max="12" width="52.28515625" style="3" customWidth="1"/>
    <col min="14" max="14" width="8.7109375" customWidth="1"/>
    <col min="15" max="15" width="40.7109375" customWidth="1"/>
  </cols>
  <sheetData>
    <row r="1" spans="1:18" s="60" customFormat="1" ht="28.9" x14ac:dyDescent="0.3">
      <c r="A1" s="103" t="s">
        <v>186</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f>B4/(1-$N$5)</f>
        <v>143010.75268817204</v>
      </c>
      <c r="C3" s="63">
        <f t="shared" ref="C3:G3" si="0">C4/(1-$N$5)</f>
        <v>144086.02150537635</v>
      </c>
      <c r="D3" s="63">
        <f t="shared" si="0"/>
        <v>144086.02150537635</v>
      </c>
      <c r="E3" s="63">
        <f t="shared" si="0"/>
        <v>145161.29032258067</v>
      </c>
      <c r="F3" s="63">
        <f t="shared" si="0"/>
        <v>145161.29032258067</v>
      </c>
      <c r="G3" s="63">
        <f t="shared" si="0"/>
        <v>145161.29032258067</v>
      </c>
      <c r="H3" s="63">
        <f t="shared" ref="H3" si="1">H4/(1-$N$5)</f>
        <v>145757.35895193912</v>
      </c>
      <c r="I3" s="63">
        <f t="shared" ref="I3" si="2">I4/(1-$N$5)</f>
        <v>146355.87518843936</v>
      </c>
      <c r="J3" s="63">
        <f t="shared" ref="J3" si="3">J4/(1-$N$5)</f>
        <v>146956.84908256959</v>
      </c>
      <c r="K3" s="63">
        <f t="shared" ref="K3" si="4">K4/(1-$N$5)</f>
        <v>147560.29072608781</v>
      </c>
      <c r="L3" s="89" t="s">
        <v>221</v>
      </c>
      <c r="N3" s="64">
        <v>0.91839999999999999</v>
      </c>
      <c r="O3" s="9" t="s">
        <v>203</v>
      </c>
    </row>
    <row r="4" spans="1:18" s="60" customFormat="1" ht="57.6" x14ac:dyDescent="0.3">
      <c r="A4" s="105" t="s">
        <v>170</v>
      </c>
      <c r="B4" s="63">
        <f>SUMIFS('Form 1.1c'!J:J, 'Form 1.1c'!$B:$B, "Bear Valley Electric Service")*1000</f>
        <v>133000</v>
      </c>
      <c r="C4" s="63">
        <f>SUMIFS('Form 1.1c'!K:K, 'Form 1.1c'!$B:$B, "Bear Valley Electric Service")*1000</f>
        <v>134000</v>
      </c>
      <c r="D4" s="63">
        <f>SUMIFS('Form 1.1c'!L:L, 'Form 1.1c'!$B:$B, "Bear Valley Electric Service")*1000</f>
        <v>134000</v>
      </c>
      <c r="E4" s="63">
        <f>SUMIFS('Form 1.1c'!M:M, 'Form 1.1c'!$B:$B, "Bear Valley Electric Service")*1000</f>
        <v>135000</v>
      </c>
      <c r="F4" s="63">
        <f>SUMIFS('Form 1.1c'!N:N, 'Form 1.1c'!$B:$B, "Bear Valley Electric Service")*1000</f>
        <v>135000</v>
      </c>
      <c r="G4" s="63">
        <f>SUMIFS('Form 1.1c'!O:O, 'Form 1.1c'!$B:$B, "Bear Valley Electric Service")*1000</f>
        <v>135000</v>
      </c>
      <c r="H4" s="67">
        <f>AVERAGE(E4:G4)*(1+$N$9)</f>
        <v>135554.34382530337</v>
      </c>
      <c r="I4" s="63">
        <f t="shared" ref="I4:K4" si="5">H4*(1+$N$9)</f>
        <v>136110.96392524859</v>
      </c>
      <c r="J4" s="63">
        <f t="shared" si="5"/>
        <v>136669.86964678971</v>
      </c>
      <c r="K4" s="63">
        <f t="shared" si="5"/>
        <v>137231.07037526165</v>
      </c>
      <c r="L4" s="89" t="s">
        <v>222</v>
      </c>
      <c r="N4" s="70">
        <f>0.15</f>
        <v>0.15</v>
      </c>
      <c r="O4" s="89" t="s">
        <v>166</v>
      </c>
    </row>
    <row r="5" spans="1:18" s="60" customFormat="1" ht="28.9" x14ac:dyDescent="0.3">
      <c r="A5" s="105" t="s">
        <v>194</v>
      </c>
      <c r="B5" s="63">
        <f>IF(AND(0&lt;(B3-B4)/B3,(B3-B4)/B3&lt;$N$4),B4,B3*(1-$N$5))</f>
        <v>133000</v>
      </c>
      <c r="C5" s="63">
        <f t="shared" ref="C5:K5" si="6">IF(AND(0&lt;(C3-C4)/C3,(C3-C4)/C3&lt;$N$4),C4,C3*(1-$N$5))</f>
        <v>134000</v>
      </c>
      <c r="D5" s="63">
        <f t="shared" si="6"/>
        <v>134000</v>
      </c>
      <c r="E5" s="63">
        <f t="shared" si="6"/>
        <v>135000</v>
      </c>
      <c r="F5" s="63">
        <f t="shared" si="6"/>
        <v>135000</v>
      </c>
      <c r="G5" s="63">
        <f t="shared" si="6"/>
        <v>135000</v>
      </c>
      <c r="H5" s="63">
        <f t="shared" si="6"/>
        <v>135554.34382530337</v>
      </c>
      <c r="I5" s="63">
        <f t="shared" si="6"/>
        <v>136110.96392524859</v>
      </c>
      <c r="J5" s="63">
        <f t="shared" si="6"/>
        <v>136669.86964678971</v>
      </c>
      <c r="K5" s="63">
        <f t="shared" si="6"/>
        <v>137231.07037526165</v>
      </c>
      <c r="L5" s="89" t="s">
        <v>223</v>
      </c>
      <c r="N5" s="70">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10" t="s">
        <v>261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10" t="s">
        <v>261</v>
      </c>
      <c r="N7" s="86">
        <v>0.85099999999999998</v>
      </c>
      <c r="O7" s="89" t="s">
        <v>168</v>
      </c>
    </row>
    <row r="8" spans="1:18" s="60" customFormat="1" ht="14.45" x14ac:dyDescent="0.3">
      <c r="A8" s="105" t="s">
        <v>173</v>
      </c>
      <c r="B8" s="63">
        <v>0</v>
      </c>
      <c r="C8" s="63">
        <v>0</v>
      </c>
      <c r="D8" s="63">
        <v>0</v>
      </c>
      <c r="E8" s="63">
        <v>0</v>
      </c>
      <c r="F8" s="63">
        <v>0</v>
      </c>
      <c r="G8" s="63">
        <v>0</v>
      </c>
      <c r="H8" s="63">
        <v>0</v>
      </c>
      <c r="I8" s="63">
        <v>0</v>
      </c>
      <c r="J8" s="63">
        <v>0</v>
      </c>
      <c r="K8" s="63">
        <v>0</v>
      </c>
      <c r="L8" s="110" t="s">
        <v>261</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4.1062505578026709E-3</v>
      </c>
      <c r="O9" s="89" t="s">
        <v>206</v>
      </c>
    </row>
    <row r="10" spans="1:18" s="60" customFormat="1" ht="15.6" x14ac:dyDescent="0.3">
      <c r="A10" s="105" t="s">
        <v>174</v>
      </c>
      <c r="B10" s="63">
        <f t="shared" ref="B10:K10" si="7">B5*B9</f>
        <v>45220</v>
      </c>
      <c r="C10" s="63">
        <f t="shared" si="7"/>
        <v>48240</v>
      </c>
      <c r="D10" s="63">
        <f t="shared" si="7"/>
        <v>49580</v>
      </c>
      <c r="E10" s="63">
        <f t="shared" si="7"/>
        <v>52650</v>
      </c>
      <c r="F10" s="63">
        <f t="shared" si="7"/>
        <v>55350</v>
      </c>
      <c r="G10" s="63">
        <f t="shared" si="7"/>
        <v>56700</v>
      </c>
      <c r="H10" s="63">
        <f t="shared" si="7"/>
        <v>59643.911283133479</v>
      </c>
      <c r="I10" s="63">
        <f t="shared" si="7"/>
        <v>62611.043405614357</v>
      </c>
      <c r="J10" s="63">
        <f t="shared" si="7"/>
        <v>65601.537430459051</v>
      </c>
      <c r="K10" s="63">
        <f t="shared" si="7"/>
        <v>68615.535187630827</v>
      </c>
      <c r="L10" s="89" t="s">
        <v>207</v>
      </c>
      <c r="N10" s="68"/>
      <c r="O10" s="62"/>
    </row>
    <row r="11" spans="1:18" s="60" customFormat="1" ht="28.9" x14ac:dyDescent="0.3">
      <c r="A11" s="105" t="s">
        <v>175</v>
      </c>
      <c r="B11" s="63">
        <f>MAX(B3-SUM(B6:B8,B10), B3*$N$6)</f>
        <v>97790.752688172041</v>
      </c>
      <c r="C11" s="63">
        <f t="shared" ref="C11:K11" si="8">MAX(C3-SUM(C6:C8,C10), C3*$N$6)</f>
        <v>95846.021505376353</v>
      </c>
      <c r="D11" s="63">
        <f t="shared" si="8"/>
        <v>94506.021505376353</v>
      </c>
      <c r="E11" s="63">
        <f t="shared" si="8"/>
        <v>92511.290322580666</v>
      </c>
      <c r="F11" s="63">
        <f t="shared" si="8"/>
        <v>89811.290322580666</v>
      </c>
      <c r="G11" s="63">
        <f t="shared" si="8"/>
        <v>88461.290322580666</v>
      </c>
      <c r="H11" s="63">
        <f t="shared" si="8"/>
        <v>86113.447668805646</v>
      </c>
      <c r="I11" s="63">
        <f t="shared" si="8"/>
        <v>83744.831782825</v>
      </c>
      <c r="J11" s="63">
        <f t="shared" si="8"/>
        <v>81355.31165211054</v>
      </c>
      <c r="K11" s="63">
        <f t="shared" si="8"/>
        <v>78944.755538456986</v>
      </c>
      <c r="L11" s="89" t="s">
        <v>208</v>
      </c>
      <c r="N11" s="68"/>
      <c r="O11" s="62"/>
    </row>
    <row r="12" spans="1:18" s="60" customFormat="1" ht="43.9" x14ac:dyDescent="0.35">
      <c r="A12" s="105" t="s">
        <v>197</v>
      </c>
      <c r="B12" s="63">
        <f t="shared" ref="B12:K12" si="9">B6*$N$3+B11*$N$2</f>
        <v>42578.093720430108</v>
      </c>
      <c r="C12" s="63">
        <f t="shared" si="9"/>
        <v>41731.357763440865</v>
      </c>
      <c r="D12" s="63">
        <f t="shared" si="9"/>
        <v>41147.921763440863</v>
      </c>
      <c r="E12" s="63">
        <f t="shared" si="9"/>
        <v>40279.415806451623</v>
      </c>
      <c r="F12" s="63">
        <f t="shared" si="9"/>
        <v>39103.835806451621</v>
      </c>
      <c r="G12" s="63">
        <f t="shared" si="9"/>
        <v>38516.045806451621</v>
      </c>
      <c r="H12" s="63">
        <f t="shared" si="9"/>
        <v>37493.795114997978</v>
      </c>
      <c r="I12" s="63">
        <f t="shared" si="9"/>
        <v>36462.499758242004</v>
      </c>
      <c r="J12" s="63">
        <f t="shared" si="9"/>
        <v>35422.102693328932</v>
      </c>
      <c r="K12" s="63">
        <f t="shared" si="9"/>
        <v>34372.546561444171</v>
      </c>
      <c r="L12" s="108" t="s">
        <v>209</v>
      </c>
    </row>
    <row r="13" spans="1:18" s="60" customFormat="1" ht="96.75" customHeight="1"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107" t="s">
        <v>215</v>
      </c>
      <c r="N14" s="60"/>
      <c r="O14" s="60"/>
      <c r="P14" s="60"/>
      <c r="Q14" s="60"/>
      <c r="R14" s="60"/>
    </row>
    <row r="15" spans="1:18" s="60" customFormat="1" ht="28.9" x14ac:dyDescent="0.3">
      <c r="A15" s="105" t="s">
        <v>198</v>
      </c>
      <c r="B15" s="88">
        <f t="shared" ref="B15:K15" si="10">$K$13*B14</f>
        <v>0</v>
      </c>
      <c r="C15" s="88">
        <f t="shared" si="10"/>
        <v>0</v>
      </c>
      <c r="D15" s="88">
        <f t="shared" si="10"/>
        <v>0</v>
      </c>
      <c r="E15" s="88">
        <f t="shared" si="10"/>
        <v>0</v>
      </c>
      <c r="F15" s="88">
        <f t="shared" si="10"/>
        <v>0</v>
      </c>
      <c r="G15" s="88">
        <f t="shared" si="10"/>
        <v>0</v>
      </c>
      <c r="H15" s="88">
        <f t="shared" si="10"/>
        <v>0</v>
      </c>
      <c r="I15" s="88">
        <f t="shared" si="10"/>
        <v>0</v>
      </c>
      <c r="J15" s="88">
        <f t="shared" si="10"/>
        <v>0</v>
      </c>
      <c r="K15" s="88">
        <f t="shared" si="10"/>
        <v>0</v>
      </c>
      <c r="L15" s="108" t="s">
        <v>211</v>
      </c>
    </row>
    <row r="16" spans="1:18" s="60" customFormat="1" ht="30" x14ac:dyDescent="0.35">
      <c r="A16" s="105" t="s">
        <v>199</v>
      </c>
      <c r="B16" s="82">
        <f t="shared" ref="B16:K16" si="11">B12/B3</f>
        <v>0.29772651999999999</v>
      </c>
      <c r="C16" s="82">
        <f t="shared" si="11"/>
        <v>0.28962808000000001</v>
      </c>
      <c r="D16" s="82">
        <f t="shared" si="11"/>
        <v>0.28557885999999999</v>
      </c>
      <c r="E16" s="82">
        <f t="shared" si="11"/>
        <v>0.27748042000000001</v>
      </c>
      <c r="F16" s="82">
        <f t="shared" si="11"/>
        <v>0.26938198000000002</v>
      </c>
      <c r="G16" s="82">
        <f t="shared" si="11"/>
        <v>0.26533276</v>
      </c>
      <c r="H16" s="82">
        <f t="shared" si="11"/>
        <v>0.25723432000000002</v>
      </c>
      <c r="I16" s="82">
        <f t="shared" si="11"/>
        <v>0.24913588</v>
      </c>
      <c r="J16" s="82">
        <f t="shared" si="11"/>
        <v>0.24103744000000007</v>
      </c>
      <c r="K16" s="82">
        <f t="shared" si="11"/>
        <v>0.23293900000000001</v>
      </c>
      <c r="L16" s="89" t="s">
        <v>212</v>
      </c>
    </row>
    <row r="17" spans="1:18" s="60" customFormat="1" ht="30.6" thickBot="1" x14ac:dyDescent="0.4">
      <c r="A17" s="105" t="s">
        <v>200</v>
      </c>
      <c r="B17" s="81">
        <f>B15*B16</f>
        <v>0</v>
      </c>
      <c r="C17" s="81">
        <f t="shared" ref="C17:K17" si="12">C15*C16</f>
        <v>0</v>
      </c>
      <c r="D17" s="81">
        <f t="shared" si="12"/>
        <v>0</v>
      </c>
      <c r="E17" s="81">
        <f t="shared" si="12"/>
        <v>0</v>
      </c>
      <c r="F17" s="81">
        <f t="shared" si="12"/>
        <v>0</v>
      </c>
      <c r="G17" s="81">
        <f t="shared" si="12"/>
        <v>0</v>
      </c>
      <c r="H17" s="81">
        <f t="shared" si="12"/>
        <v>0</v>
      </c>
      <c r="I17" s="81">
        <f t="shared" si="12"/>
        <v>0</v>
      </c>
      <c r="J17" s="81">
        <f t="shared" si="12"/>
        <v>0</v>
      </c>
      <c r="K17" s="81">
        <f t="shared" si="12"/>
        <v>0</v>
      </c>
      <c r="L17" s="89" t="s">
        <v>213</v>
      </c>
    </row>
    <row r="18" spans="1:18" ht="43.9" thickBot="1" x14ac:dyDescent="0.35">
      <c r="A18" s="128" t="s">
        <v>201</v>
      </c>
      <c r="B18" s="84">
        <f t="shared" ref="B18:K18" si="13">B12*(B14/$N$7)-B17</f>
        <v>40876.971292116803</v>
      </c>
      <c r="C18" s="84">
        <f t="shared" si="13"/>
        <v>38396.772184223497</v>
      </c>
      <c r="D18" s="84">
        <f t="shared" si="13"/>
        <v>36215.973443968513</v>
      </c>
      <c r="E18" s="84">
        <f t="shared" si="13"/>
        <v>33842.282375573341</v>
      </c>
      <c r="F18" s="84">
        <f t="shared" si="13"/>
        <v>31292.25873583262</v>
      </c>
      <c r="G18" s="84">
        <f t="shared" si="13"/>
        <v>29283.05715249612</v>
      </c>
      <c r="H18" s="84">
        <f t="shared" si="13"/>
        <v>27051.927380268811</v>
      </c>
      <c r="I18" s="84">
        <f t="shared" si="13"/>
        <v>24851.057414548017</v>
      </c>
      <c r="J18" s="84">
        <f t="shared" si="13"/>
        <v>22726.75448949189</v>
      </c>
      <c r="K18" s="84">
        <f t="shared" si="13"/>
        <v>20639.684245473527</v>
      </c>
      <c r="L18" s="93" t="s">
        <v>214</v>
      </c>
      <c r="N18" s="60"/>
      <c r="O18" s="60"/>
      <c r="P18" s="60"/>
      <c r="Q18" s="60"/>
      <c r="R18" s="60"/>
    </row>
    <row r="19" spans="1:18" ht="14.45" x14ac:dyDescent="0.3">
      <c r="A19" s="85"/>
      <c r="B19" s="85"/>
      <c r="C19" s="85"/>
      <c r="D19" s="85"/>
      <c r="E19" s="85"/>
      <c r="F19" s="85"/>
      <c r="G19" s="85"/>
      <c r="H19" s="85"/>
      <c r="I19" s="85"/>
      <c r="J19" s="85"/>
      <c r="K19" s="85"/>
      <c r="N19" s="60"/>
      <c r="O19" s="60"/>
      <c r="P19" s="60"/>
      <c r="Q19" s="60"/>
      <c r="R19" s="60"/>
    </row>
    <row r="20" spans="1:18" ht="14.45" x14ac:dyDescent="0.3">
      <c r="A20" s="85"/>
      <c r="B20" s="85"/>
      <c r="C20" s="85"/>
      <c r="D20" s="85"/>
      <c r="E20" s="85"/>
      <c r="F20" s="85"/>
      <c r="G20" s="85"/>
      <c r="H20" s="85"/>
      <c r="I20" s="85"/>
      <c r="J20" s="85"/>
      <c r="K20" s="85"/>
      <c r="N20" s="60"/>
      <c r="O20" s="60"/>
      <c r="P20" s="60"/>
      <c r="Q20" s="60"/>
      <c r="R20" s="60"/>
    </row>
  </sheetData>
  <mergeCells count="3">
    <mergeCell ref="B1:L1"/>
    <mergeCell ref="N1:O1"/>
    <mergeCell ref="B13:J1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defaultRowHeight="15" x14ac:dyDescent="0.25"/>
  <cols>
    <col min="1" max="1" width="34.5703125" customWidth="1"/>
    <col min="2" max="11" width="8" bestFit="1" customWidth="1"/>
    <col min="12" max="12" width="54.42578125" customWidth="1"/>
    <col min="15" max="15" width="38.85546875" customWidth="1"/>
  </cols>
  <sheetData>
    <row r="1" spans="1:15" s="60" customFormat="1" ht="14.45" x14ac:dyDescent="0.3">
      <c r="A1" s="103" t="s">
        <v>17</v>
      </c>
      <c r="B1" s="141" t="s">
        <v>176</v>
      </c>
      <c r="C1" s="142"/>
      <c r="D1" s="142"/>
      <c r="E1" s="142"/>
      <c r="F1" s="142"/>
      <c r="G1" s="142"/>
      <c r="H1" s="142"/>
      <c r="I1" s="142"/>
      <c r="J1" s="142"/>
      <c r="K1" s="142"/>
      <c r="L1" s="143"/>
      <c r="N1" s="144" t="s">
        <v>196</v>
      </c>
      <c r="O1" s="145"/>
    </row>
    <row r="2" spans="1:15" s="60" customFormat="1" ht="14.45" x14ac:dyDescent="0.3">
      <c r="A2" s="104" t="s">
        <v>152</v>
      </c>
      <c r="B2" s="125">
        <v>2021</v>
      </c>
      <c r="C2" s="125">
        <v>2022</v>
      </c>
      <c r="D2" s="125">
        <v>2023</v>
      </c>
      <c r="E2" s="125">
        <v>2024</v>
      </c>
      <c r="F2" s="125">
        <v>2025</v>
      </c>
      <c r="G2" s="125">
        <v>2026</v>
      </c>
      <c r="H2" s="125">
        <v>2027</v>
      </c>
      <c r="I2" s="125">
        <v>2028</v>
      </c>
      <c r="J2" s="125">
        <v>2029</v>
      </c>
      <c r="K2" s="124">
        <v>2030</v>
      </c>
      <c r="L2" s="92" t="s">
        <v>177</v>
      </c>
      <c r="N2" s="61">
        <v>0.43540000000000001</v>
      </c>
      <c r="O2" s="61" t="s">
        <v>273</v>
      </c>
    </row>
    <row r="3" spans="1:15" s="60" customFormat="1" ht="72.599999999999994" x14ac:dyDescent="0.35">
      <c r="A3" s="105" t="s">
        <v>169</v>
      </c>
      <c r="B3" s="63">
        <v>36906.363593050191</v>
      </c>
      <c r="C3" s="63">
        <v>36983.533529868597</v>
      </c>
      <c r="D3" s="63">
        <v>37068.756828394195</v>
      </c>
      <c r="E3" s="63">
        <v>37163.631999999998</v>
      </c>
      <c r="F3" s="63">
        <v>37263</v>
      </c>
      <c r="G3" s="63">
        <v>37362.368000000002</v>
      </c>
      <c r="H3" s="67">
        <f>AVERAGE(E3:G3)*(1+$N$9)</f>
        <v>37414.814074550086</v>
      </c>
      <c r="I3" s="67">
        <f t="shared" ref="I3:K4" si="0">H3*(1+$N$9)</f>
        <v>37567.246658431992</v>
      </c>
      <c r="J3" s="67">
        <f t="shared" si="0"/>
        <v>37720.300271529297</v>
      </c>
      <c r="K3" s="67">
        <f t="shared" si="0"/>
        <v>37873.977443991891</v>
      </c>
      <c r="L3" s="89" t="s">
        <v>272</v>
      </c>
      <c r="N3" s="64">
        <v>0.91839999999999999</v>
      </c>
      <c r="O3" s="9" t="s">
        <v>203</v>
      </c>
    </row>
    <row r="4" spans="1:15" s="60" customFormat="1" ht="57.6" x14ac:dyDescent="0.3">
      <c r="A4" s="105" t="s">
        <v>170</v>
      </c>
      <c r="B4" s="63">
        <f>SUMIFS('Form 1.1c'!J:J, 'Form 1.1c'!$B:$B, "City of Gridley")*1000</f>
        <v>36000</v>
      </c>
      <c r="C4" s="63">
        <f>SUMIFS('Form 1.1c'!K:K, 'Form 1.1c'!$B:$B, "City of Gridley")*1000</f>
        <v>37000</v>
      </c>
      <c r="D4" s="63">
        <f>SUMIFS('Form 1.1c'!L:L, 'Form 1.1c'!$B:$B, "City of Gridley")*1000</f>
        <v>37000</v>
      </c>
      <c r="E4" s="63">
        <f>SUMIFS('Form 1.1c'!M:M, 'Form 1.1c'!$B:$B, "City of Gridley")*1000</f>
        <v>37000</v>
      </c>
      <c r="F4" s="63">
        <f>SUMIFS('Form 1.1c'!N:N, 'Form 1.1c'!$B:$B, "City of Gridley")*1000</f>
        <v>37000</v>
      </c>
      <c r="G4" s="63">
        <f>SUMIFS('Form 1.1c'!O:O, 'Form 1.1c'!$B:$B, "City of Gridley")*1000</f>
        <v>37000</v>
      </c>
      <c r="H4" s="67">
        <f>AVERAGE(E4:G4)*(1+$N$9)</f>
        <v>37150.742579994992</v>
      </c>
      <c r="I4" s="63">
        <f t="shared" si="0"/>
        <v>37302.099303920346</v>
      </c>
      <c r="J4" s="63">
        <f t="shared" si="0"/>
        <v>37454.072673874463</v>
      </c>
      <c r="K4" s="63">
        <f t="shared" si="0"/>
        <v>37606.66520214959</v>
      </c>
      <c r="L4" s="89" t="s">
        <v>222</v>
      </c>
      <c r="N4" s="70">
        <f>0.15</f>
        <v>0.15</v>
      </c>
      <c r="O4" s="61" t="s">
        <v>166</v>
      </c>
    </row>
    <row r="5" spans="1:15" s="60" customFormat="1" ht="28.9" x14ac:dyDescent="0.3">
      <c r="A5" s="105" t="s">
        <v>194</v>
      </c>
      <c r="B5" s="63">
        <f>IF(AND(0&lt;($C$3-$C$4)/$C$3,($C$3-$C$4)/$C$3&lt;$N$4),B4,B3*(1-$N$5))</f>
        <v>34322.918141536677</v>
      </c>
      <c r="C5" s="63">
        <f>IF(AND(0&lt;($C$3-$C$4)/$C$3,($C$3-$C$4)/$C$3&lt;$N$4),C4,C3*(1-$N$5))</f>
        <v>34394.68618277779</v>
      </c>
      <c r="D5" s="63">
        <f t="shared" ref="D5:K5" si="1">IF(AND(0&lt;($C$3-$C$4)/$C$3,($C$3-$C$4)/$C$3&lt;$N$4),D4,D3*(1-$N$5))</f>
        <v>34473.943850406598</v>
      </c>
      <c r="E5" s="63">
        <f t="shared" si="1"/>
        <v>34562.177759999999</v>
      </c>
      <c r="F5" s="63">
        <f t="shared" si="1"/>
        <v>34654.589999999997</v>
      </c>
      <c r="G5" s="63">
        <f t="shared" si="1"/>
        <v>34747.002240000002</v>
      </c>
      <c r="H5" s="63">
        <f>IF(AND(0&lt;($C$3-$C$4)/$C$3,($C$3-$C$4)/$C$3&lt;$N$4),H4,H3*(1-$N$5))</f>
        <v>34795.777089331576</v>
      </c>
      <c r="I5" s="63">
        <f t="shared" si="1"/>
        <v>34937.53939234175</v>
      </c>
      <c r="J5" s="63">
        <f t="shared" si="1"/>
        <v>35079.879252522245</v>
      </c>
      <c r="K5" s="63">
        <f t="shared" si="1"/>
        <v>35222.799022912455</v>
      </c>
      <c r="L5" s="89" t="s">
        <v>271</v>
      </c>
      <c r="N5" s="70">
        <f>0.07</f>
        <v>7.0000000000000007E-2</v>
      </c>
      <c r="O5" s="61" t="s">
        <v>270</v>
      </c>
    </row>
    <row r="6" spans="1:15" s="60" customFormat="1" ht="14.45" x14ac:dyDescent="0.3">
      <c r="A6" s="105" t="s">
        <v>171</v>
      </c>
      <c r="B6" s="63">
        <v>0</v>
      </c>
      <c r="C6" s="63">
        <v>0</v>
      </c>
      <c r="D6" s="63">
        <v>0</v>
      </c>
      <c r="E6" s="63">
        <v>0</v>
      </c>
      <c r="F6" s="63">
        <v>0</v>
      </c>
      <c r="G6" s="63">
        <v>0</v>
      </c>
      <c r="H6" s="63">
        <v>0</v>
      </c>
      <c r="I6" s="63">
        <v>0</v>
      </c>
      <c r="J6" s="63">
        <v>0</v>
      </c>
      <c r="K6" s="63">
        <v>0</v>
      </c>
      <c r="L6" s="120" t="s">
        <v>269</v>
      </c>
      <c r="N6" s="65">
        <v>0.05</v>
      </c>
      <c r="O6" s="61" t="s">
        <v>268</v>
      </c>
    </row>
    <row r="7" spans="1:15" s="60" customFormat="1" ht="14.45" x14ac:dyDescent="0.3">
      <c r="A7" s="105" t="s">
        <v>172</v>
      </c>
      <c r="B7" s="63">
        <v>0</v>
      </c>
      <c r="C7" s="63">
        <v>0</v>
      </c>
      <c r="D7" s="63">
        <v>0</v>
      </c>
      <c r="E7" s="63">
        <v>0</v>
      </c>
      <c r="F7" s="63">
        <v>0</v>
      </c>
      <c r="G7" s="63">
        <v>0</v>
      </c>
      <c r="H7" s="63">
        <v>0</v>
      </c>
      <c r="I7" s="63">
        <v>0</v>
      </c>
      <c r="J7" s="63">
        <v>0</v>
      </c>
      <c r="K7" s="63">
        <v>0</v>
      </c>
      <c r="L7" s="120" t="s">
        <v>267</v>
      </c>
      <c r="N7" s="86">
        <v>0.85099999999999998</v>
      </c>
      <c r="O7" s="61" t="s">
        <v>168</v>
      </c>
    </row>
    <row r="8" spans="1:15" s="60" customFormat="1" ht="43.15" x14ac:dyDescent="0.3">
      <c r="A8" s="105" t="s">
        <v>173</v>
      </c>
      <c r="B8" s="63">
        <v>11641</v>
      </c>
      <c r="C8" s="63">
        <v>11640</v>
      </c>
      <c r="D8" s="63">
        <v>11640</v>
      </c>
      <c r="E8" s="63">
        <v>11641</v>
      </c>
      <c r="F8" s="63">
        <v>11640</v>
      </c>
      <c r="G8" s="63">
        <v>11640</v>
      </c>
      <c r="H8" s="67">
        <f>AVERAGE(E8:G8)</f>
        <v>11640.333333333334</v>
      </c>
      <c r="I8" s="67">
        <f t="shared" ref="I8:K8" si="2">H8</f>
        <v>11640.333333333334</v>
      </c>
      <c r="J8" s="67">
        <f t="shared" si="2"/>
        <v>11640.333333333334</v>
      </c>
      <c r="K8" s="67">
        <f t="shared" si="2"/>
        <v>11640.333333333334</v>
      </c>
      <c r="L8" s="89" t="s">
        <v>266</v>
      </c>
    </row>
    <row r="9" spans="1:15" s="60" customFormat="1" ht="28.9" x14ac:dyDescent="0.3">
      <c r="A9" s="105" t="s">
        <v>153</v>
      </c>
      <c r="B9" s="73">
        <v>0.34</v>
      </c>
      <c r="C9" s="59">
        <v>0.36</v>
      </c>
      <c r="D9" s="59">
        <v>0.37</v>
      </c>
      <c r="E9" s="59">
        <v>0.39</v>
      </c>
      <c r="F9" s="59">
        <v>0.41</v>
      </c>
      <c r="G9" s="59">
        <v>0.42</v>
      </c>
      <c r="H9" s="59">
        <v>0.44</v>
      </c>
      <c r="I9" s="59">
        <v>0.46</v>
      </c>
      <c r="J9" s="59">
        <v>0.48</v>
      </c>
      <c r="K9" s="59">
        <v>0.5</v>
      </c>
      <c r="L9" s="89" t="s">
        <v>248</v>
      </c>
      <c r="N9" s="66">
        <v>4.0741237836483535E-3</v>
      </c>
      <c r="O9" s="89" t="s">
        <v>206</v>
      </c>
    </row>
    <row r="10" spans="1:15" s="60" customFormat="1" ht="15.6" x14ac:dyDescent="0.3">
      <c r="A10" s="105" t="s">
        <v>174</v>
      </c>
      <c r="B10" s="63">
        <f t="shared" ref="B10:K10" si="3">B5*B9</f>
        <v>11669.792168122471</v>
      </c>
      <c r="C10" s="63">
        <f t="shared" si="3"/>
        <v>12382.087025800003</v>
      </c>
      <c r="D10" s="63">
        <f t="shared" si="3"/>
        <v>12755.359224650441</v>
      </c>
      <c r="E10" s="63">
        <f t="shared" si="3"/>
        <v>13479.2493264</v>
      </c>
      <c r="F10" s="63">
        <f t="shared" si="3"/>
        <v>14208.381899999998</v>
      </c>
      <c r="G10" s="63">
        <f t="shared" si="3"/>
        <v>14593.7409408</v>
      </c>
      <c r="H10" s="63">
        <f t="shared" si="3"/>
        <v>15310.141919305894</v>
      </c>
      <c r="I10" s="63">
        <f t="shared" si="3"/>
        <v>16071.268120477205</v>
      </c>
      <c r="J10" s="63">
        <f t="shared" si="3"/>
        <v>16838.342041210679</v>
      </c>
      <c r="K10" s="63">
        <f t="shared" si="3"/>
        <v>17611.399511456228</v>
      </c>
      <c r="L10" s="89" t="s">
        <v>207</v>
      </c>
      <c r="N10" s="68"/>
      <c r="O10" s="62"/>
    </row>
    <row r="11" spans="1:15" s="60" customFormat="1" ht="28.9" x14ac:dyDescent="0.3">
      <c r="A11" s="105" t="s">
        <v>175</v>
      </c>
      <c r="B11" s="63">
        <f t="shared" ref="B11:K11" si="4">MAX(B3-SUM(B6:B8,B10), B3*$N$6)</f>
        <v>13595.571424927723</v>
      </c>
      <c r="C11" s="63">
        <f t="shared" si="4"/>
        <v>12961.446504068594</v>
      </c>
      <c r="D11" s="63">
        <f t="shared" si="4"/>
        <v>12673.397603743753</v>
      </c>
      <c r="E11" s="63">
        <f t="shared" si="4"/>
        <v>12043.382673599997</v>
      </c>
      <c r="F11" s="63">
        <f t="shared" si="4"/>
        <v>11414.6181</v>
      </c>
      <c r="G11" s="63">
        <f t="shared" si="4"/>
        <v>11128.6270592</v>
      </c>
      <c r="H11" s="63">
        <f t="shared" si="4"/>
        <v>10464.33882191086</v>
      </c>
      <c r="I11" s="63">
        <f t="shared" si="4"/>
        <v>9855.6452046214545</v>
      </c>
      <c r="J11" s="63">
        <f t="shared" si="4"/>
        <v>9241.6248969852822</v>
      </c>
      <c r="K11" s="63">
        <f t="shared" si="4"/>
        <v>8622.2445992023277</v>
      </c>
      <c r="L11" s="89" t="s">
        <v>208</v>
      </c>
      <c r="N11" s="68"/>
      <c r="O11" s="62"/>
    </row>
    <row r="12" spans="1:15" s="60" customFormat="1" ht="43.9" x14ac:dyDescent="0.35">
      <c r="A12" s="105" t="s">
        <v>197</v>
      </c>
      <c r="B12" s="63">
        <f t="shared" ref="B12:K12" si="5">B6*$N$3+B11*$N$2</f>
        <v>5919.5117984135304</v>
      </c>
      <c r="C12" s="63">
        <f t="shared" si="5"/>
        <v>5643.4138078714659</v>
      </c>
      <c r="D12" s="63">
        <f t="shared" si="5"/>
        <v>5517.9973166700302</v>
      </c>
      <c r="E12" s="63">
        <f t="shared" si="5"/>
        <v>5243.6888160854387</v>
      </c>
      <c r="F12" s="63">
        <f t="shared" si="5"/>
        <v>4969.9247207400003</v>
      </c>
      <c r="G12" s="63">
        <f t="shared" si="5"/>
        <v>4845.4042215756799</v>
      </c>
      <c r="H12" s="63">
        <f t="shared" si="5"/>
        <v>4556.1731230599889</v>
      </c>
      <c r="I12" s="63">
        <f t="shared" si="5"/>
        <v>4291.147922092181</v>
      </c>
      <c r="J12" s="63">
        <f t="shared" si="5"/>
        <v>4023.8034801473918</v>
      </c>
      <c r="K12" s="63">
        <f t="shared" si="5"/>
        <v>3754.1252984926937</v>
      </c>
      <c r="L12" s="108" t="s">
        <v>209</v>
      </c>
    </row>
    <row r="13" spans="1:15" s="60" customFormat="1" ht="86.45" x14ac:dyDescent="0.3">
      <c r="A13" s="105"/>
      <c r="B13" s="146" t="s">
        <v>210</v>
      </c>
      <c r="C13" s="147"/>
      <c r="D13" s="147"/>
      <c r="E13" s="147"/>
      <c r="F13" s="147"/>
      <c r="G13" s="147"/>
      <c r="H13" s="147"/>
      <c r="I13" s="147"/>
      <c r="J13" s="148"/>
      <c r="K13" s="87">
        <v>0</v>
      </c>
      <c r="L13" s="108" t="s">
        <v>216</v>
      </c>
    </row>
    <row r="14" spans="1:15" s="60" customFormat="1"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row>
    <row r="15" spans="1:15"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5" s="60" customFormat="1" ht="30" x14ac:dyDescent="0.35">
      <c r="A16" s="105" t="s">
        <v>199</v>
      </c>
      <c r="B16" s="82">
        <f>B12/B3</f>
        <v>0.16039271339992514</v>
      </c>
      <c r="C16" s="82">
        <f t="shared" ref="C16:K16" si="7">C12/C3</f>
        <v>0.15259260728328566</v>
      </c>
      <c r="D16" s="82">
        <f t="shared" si="7"/>
        <v>0.14885844006625318</v>
      </c>
      <c r="E16" s="82">
        <f t="shared" si="7"/>
        <v>0.1410973183698902</v>
      </c>
      <c r="F16" s="82">
        <f t="shared" si="7"/>
        <v>0.13337425115369134</v>
      </c>
      <c r="G16" s="82">
        <f t="shared" si="7"/>
        <v>0.12968675383679321</v>
      </c>
      <c r="H16" s="82">
        <f t="shared" si="7"/>
        <v>0.12177457608052479</v>
      </c>
      <c r="I16" s="82">
        <f t="shared" si="7"/>
        <v>0.11422577654167877</v>
      </c>
      <c r="J16" s="82">
        <f t="shared" si="7"/>
        <v>0.10667474678573799</v>
      </c>
      <c r="K16" s="82">
        <f t="shared" si="7"/>
        <v>9.9121495862015047E-2</v>
      </c>
      <c r="L16" s="89" t="s">
        <v>212</v>
      </c>
    </row>
    <row r="17" spans="1:15"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5" ht="43.9" thickBot="1" x14ac:dyDescent="0.35">
      <c r="A18" s="128" t="s">
        <v>201</v>
      </c>
      <c r="B18" s="84">
        <f t="shared" ref="B18:K18" si="9">B12*(B14/$N$7)-B17</f>
        <v>5683.0095643993591</v>
      </c>
      <c r="C18" s="84">
        <f t="shared" si="9"/>
        <v>5192.4712239287401</v>
      </c>
      <c r="D18" s="84">
        <f t="shared" si="9"/>
        <v>4856.6157346484752</v>
      </c>
      <c r="E18" s="84">
        <f t="shared" si="9"/>
        <v>4405.6844929507506</v>
      </c>
      <c r="F18" s="84">
        <f t="shared" si="9"/>
        <v>3977.107796502868</v>
      </c>
      <c r="G18" s="84">
        <f t="shared" si="9"/>
        <v>3683.8737148759869</v>
      </c>
      <c r="H18" s="84">
        <f t="shared" si="9"/>
        <v>3287.2976469551504</v>
      </c>
      <c r="I18" s="84">
        <f t="shared" si="9"/>
        <v>2924.6366566550705</v>
      </c>
      <c r="J18" s="84">
        <f t="shared" si="9"/>
        <v>2581.6647475446252</v>
      </c>
      <c r="K18" s="84">
        <f t="shared" si="9"/>
        <v>2254.2397503287502</v>
      </c>
      <c r="L18" s="93" t="s">
        <v>214</v>
      </c>
      <c r="M18" s="60"/>
      <c r="N18" s="60"/>
      <c r="O18" s="60"/>
    </row>
    <row r="19" spans="1:15" x14ac:dyDescent="0.25">
      <c r="A19" s="85"/>
      <c r="B19" s="85"/>
      <c r="C19" s="85"/>
      <c r="D19" s="85"/>
      <c r="E19" s="85"/>
      <c r="F19" s="85"/>
      <c r="G19" s="85"/>
      <c r="H19" s="85"/>
      <c r="I19" s="85"/>
      <c r="J19" s="85"/>
      <c r="K19" s="85"/>
      <c r="L19" s="60"/>
      <c r="M19" s="60"/>
      <c r="N19" s="60"/>
      <c r="O19" s="60"/>
    </row>
  </sheetData>
  <mergeCells count="3">
    <mergeCell ref="B1:L1"/>
    <mergeCell ref="N1:O1"/>
    <mergeCell ref="B13:J1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33.42578125" customWidth="1"/>
    <col min="2" max="11" width="10.5703125" bestFit="1" customWidth="1"/>
    <col min="12" max="12" width="58.85546875" customWidth="1"/>
    <col min="14" max="14" width="7" bestFit="1" customWidth="1"/>
    <col min="15" max="15" width="44" customWidth="1"/>
    <col min="16" max="17" width="12" customWidth="1"/>
    <col min="18" max="18" width="7.28515625" customWidth="1"/>
    <col min="19" max="19" width="14.28515625" customWidth="1"/>
    <col min="20" max="20" width="10.7109375" bestFit="1" customWidth="1"/>
  </cols>
  <sheetData>
    <row r="1" spans="1:18" s="60" customFormat="1" ht="15.6" x14ac:dyDescent="0.3">
      <c r="A1" s="103" t="s">
        <v>6</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58.15" x14ac:dyDescent="0.35">
      <c r="A3" s="105" t="s">
        <v>169</v>
      </c>
      <c r="B3" s="63">
        <f>SUMIFS('Form 1.5a'!J:J, 'Form 1.5a'!$A:$A, "Imperial Irrigation District Control Area")*1000</f>
        <v>4151000</v>
      </c>
      <c r="C3" s="63">
        <f>SUMIFS('Form 1.5a'!K:K, 'Form 1.5a'!$A:$A, "Imperial Irrigation District Control Area")*1000</f>
        <v>4228000</v>
      </c>
      <c r="D3" s="63">
        <f>SUMIFS('Form 1.5a'!L:L, 'Form 1.5a'!$A:$A, "Imperial Irrigation District Control Area")*1000</f>
        <v>4300000</v>
      </c>
      <c r="E3" s="63">
        <f>SUMIFS('Form 1.5a'!M:M, 'Form 1.5a'!$A:$A, "Imperial Irrigation District Control Area")*1000</f>
        <v>4370000</v>
      </c>
      <c r="F3" s="63">
        <f>SUMIFS('Form 1.5a'!N:N, 'Form 1.5a'!$A:$A, "Imperial Irrigation District Control Area")*1000</f>
        <v>4441000</v>
      </c>
      <c r="G3" s="63">
        <f>SUMIFS('Form 1.5a'!O:O, 'Form 1.5a'!$A:$A, "Imperial Irrigation District Control Area")*1000</f>
        <v>4504000</v>
      </c>
      <c r="H3" s="67">
        <f>AVERAGE(E3:G3)*(1+$N$9)</f>
        <v>4498988.7724816324</v>
      </c>
      <c r="I3" s="67">
        <f t="shared" ref="I3:K4" si="0">H3*(1+$N$9)</f>
        <v>4560473.144930331</v>
      </c>
      <c r="J3" s="67">
        <f t="shared" si="0"/>
        <v>4622797.7791015161</v>
      </c>
      <c r="K3" s="67">
        <f t="shared" si="0"/>
        <v>4685974.158234491</v>
      </c>
      <c r="L3" s="89" t="s">
        <v>218</v>
      </c>
      <c r="N3" s="64">
        <v>0.91839999999999999</v>
      </c>
      <c r="O3" s="9" t="s">
        <v>203</v>
      </c>
    </row>
    <row r="4" spans="1:18" s="60" customFormat="1" ht="43.15" x14ac:dyDescent="0.3">
      <c r="A4" s="105" t="s">
        <v>170</v>
      </c>
      <c r="B4" s="63">
        <f>SUMIFS('Form 1.1c'!J:J, 'Form 1.1c'!$B:$B, "Imperial Irrigation District")*1000</f>
        <v>3682000</v>
      </c>
      <c r="C4" s="63">
        <f>SUMIFS('Form 1.1c'!K:K, 'Form 1.1c'!$B:$B, "Imperial Irrigation District")*1000</f>
        <v>3751000</v>
      </c>
      <c r="D4" s="63">
        <f>SUMIFS('Form 1.1c'!L:L, 'Form 1.1c'!$B:$B, "Imperial Irrigation District")*1000</f>
        <v>3815000</v>
      </c>
      <c r="E4" s="63">
        <f>SUMIFS('Form 1.1c'!M:M, 'Form 1.1c'!$B:$B, "Imperial Irrigation District")*1000</f>
        <v>3877000</v>
      </c>
      <c r="F4" s="63">
        <f>SUMIFS('Form 1.1c'!N:N, 'Form 1.1c'!$B:$B, "Imperial Irrigation District")*1000</f>
        <v>3941000</v>
      </c>
      <c r="G4" s="63">
        <f>SUMIFS('Form 1.1c'!O:O, 'Form 1.1c'!$B:$B, "Imperial Irrigation District")*1000</f>
        <v>3997000</v>
      </c>
      <c r="H4" s="67">
        <f>AVERAGE(E4:G4)*(1+$N$9)</f>
        <v>3992155.6400203151</v>
      </c>
      <c r="I4" s="63">
        <f t="shared" si="0"/>
        <v>4046713.4966092282</v>
      </c>
      <c r="J4" s="63">
        <f t="shared" si="0"/>
        <v>4102016.9553198968</v>
      </c>
      <c r="K4" s="63">
        <f t="shared" si="0"/>
        <v>4158076.2057484435</v>
      </c>
      <c r="L4" s="89" t="s">
        <v>222</v>
      </c>
      <c r="N4" s="70">
        <f>0.15</f>
        <v>0.15</v>
      </c>
      <c r="O4" s="89" t="s">
        <v>166</v>
      </c>
    </row>
    <row r="5" spans="1:18" s="60" customFormat="1" ht="28.9" x14ac:dyDescent="0.3">
      <c r="A5" s="105" t="s">
        <v>194</v>
      </c>
      <c r="B5" s="63">
        <f t="shared" ref="B5:K5" si="1">IF(AND(0&lt;(B3-B4)/B3,(B3-B4)/B3&lt;$N$4),B4,B3*(1-$N$5))</f>
        <v>3682000</v>
      </c>
      <c r="C5" s="63">
        <f t="shared" si="1"/>
        <v>3751000</v>
      </c>
      <c r="D5" s="63">
        <f t="shared" si="1"/>
        <v>3815000</v>
      </c>
      <c r="E5" s="63">
        <f t="shared" si="1"/>
        <v>3877000</v>
      </c>
      <c r="F5" s="63">
        <f t="shared" si="1"/>
        <v>3941000</v>
      </c>
      <c r="G5" s="63">
        <f t="shared" si="1"/>
        <v>3997000</v>
      </c>
      <c r="H5" s="63">
        <f t="shared" si="1"/>
        <v>3992155.6400203151</v>
      </c>
      <c r="I5" s="63">
        <f t="shared" si="1"/>
        <v>4046713.4966092282</v>
      </c>
      <c r="J5" s="63">
        <f t="shared" si="1"/>
        <v>4102016.9553198968</v>
      </c>
      <c r="K5" s="63">
        <f t="shared" si="1"/>
        <v>4158076.2057484435</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19" t="s">
        <v>242</v>
      </c>
      <c r="N6" s="65">
        <v>0.05</v>
      </c>
      <c r="O6" s="89" t="s">
        <v>204</v>
      </c>
    </row>
    <row r="7" spans="1:18" s="60" customFormat="1" ht="28.9" x14ac:dyDescent="0.3">
      <c r="A7" s="105" t="s">
        <v>172</v>
      </c>
      <c r="B7" s="63">
        <v>115179.99999999999</v>
      </c>
      <c r="C7" s="63">
        <v>114479.99999999999</v>
      </c>
      <c r="D7" s="63">
        <v>108040</v>
      </c>
      <c r="E7" s="63">
        <v>111649.99999999999</v>
      </c>
      <c r="F7" s="63">
        <f>AVERAGE(C7:E7)</f>
        <v>111390</v>
      </c>
      <c r="G7" s="63">
        <f>F7</f>
        <v>111390</v>
      </c>
      <c r="H7" s="63">
        <f t="shared" ref="H7:K8" si="2">G7</f>
        <v>111390</v>
      </c>
      <c r="I7" s="63">
        <f t="shared" si="2"/>
        <v>111390</v>
      </c>
      <c r="J7" s="63">
        <f t="shared" si="2"/>
        <v>111390</v>
      </c>
      <c r="K7" s="63">
        <f t="shared" si="2"/>
        <v>111390</v>
      </c>
      <c r="L7" s="89" t="s">
        <v>256</v>
      </c>
      <c r="N7" s="86">
        <v>0.85099999999999998</v>
      </c>
      <c r="O7" s="89" t="s">
        <v>168</v>
      </c>
    </row>
    <row r="8" spans="1:18" s="60" customFormat="1" ht="14.45" x14ac:dyDescent="0.3">
      <c r="A8" s="105" t="s">
        <v>173</v>
      </c>
      <c r="B8" s="67">
        <v>156700</v>
      </c>
      <c r="C8" s="67">
        <v>156700</v>
      </c>
      <c r="D8" s="67">
        <v>156700</v>
      </c>
      <c r="E8" s="67">
        <v>156700</v>
      </c>
      <c r="F8" s="63">
        <f>AVERAGE(C8:E8)</f>
        <v>156700</v>
      </c>
      <c r="G8" s="63">
        <f>F8</f>
        <v>156700</v>
      </c>
      <c r="H8" s="63">
        <f t="shared" si="2"/>
        <v>156700</v>
      </c>
      <c r="I8" s="63">
        <f t="shared" si="2"/>
        <v>156700</v>
      </c>
      <c r="J8" s="63">
        <f t="shared" si="2"/>
        <v>156700</v>
      </c>
      <c r="K8" s="63">
        <f t="shared" si="2"/>
        <v>156700</v>
      </c>
      <c r="L8" s="89" t="s">
        <v>251</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1.3666264922636007E-2</v>
      </c>
      <c r="O9" s="89" t="s">
        <v>206</v>
      </c>
    </row>
    <row r="10" spans="1:18" s="60" customFormat="1" ht="15.6" x14ac:dyDescent="0.3">
      <c r="A10" s="105" t="s">
        <v>174</v>
      </c>
      <c r="B10" s="63">
        <f>B5*B9</f>
        <v>1251880</v>
      </c>
      <c r="C10" s="63">
        <f t="shared" ref="C10:K10" si="3">C5*C9</f>
        <v>1350360</v>
      </c>
      <c r="D10" s="63">
        <f t="shared" si="3"/>
        <v>1411550</v>
      </c>
      <c r="E10" s="63">
        <f t="shared" si="3"/>
        <v>1512030</v>
      </c>
      <c r="F10" s="63">
        <f t="shared" si="3"/>
        <v>1615810</v>
      </c>
      <c r="G10" s="63">
        <f t="shared" si="3"/>
        <v>1678740</v>
      </c>
      <c r="H10" s="63">
        <f t="shared" si="3"/>
        <v>1756548.4816089387</v>
      </c>
      <c r="I10" s="63">
        <f t="shared" si="3"/>
        <v>1861488.2084402451</v>
      </c>
      <c r="J10" s="63">
        <f t="shared" si="3"/>
        <v>1968968.1385535505</v>
      </c>
      <c r="K10" s="63">
        <f t="shared" si="3"/>
        <v>2079038.1028742217</v>
      </c>
      <c r="L10" s="89" t="s">
        <v>207</v>
      </c>
      <c r="N10" s="68"/>
      <c r="O10" s="62"/>
    </row>
    <row r="11" spans="1:18" s="60" customFormat="1" ht="28.9" x14ac:dyDescent="0.3">
      <c r="A11" s="105" t="s">
        <v>175</v>
      </c>
      <c r="B11" s="63">
        <f t="shared" ref="B11:K11" si="4">MAX(B3-SUM(B6:B8,B10), B3*$N$6)</f>
        <v>2627240</v>
      </c>
      <c r="C11" s="63">
        <f t="shared" si="4"/>
        <v>2606460</v>
      </c>
      <c r="D11" s="63">
        <f t="shared" si="4"/>
        <v>2623710</v>
      </c>
      <c r="E11" s="63">
        <f t="shared" si="4"/>
        <v>2589620</v>
      </c>
      <c r="F11" s="63">
        <f t="shared" si="4"/>
        <v>2557100</v>
      </c>
      <c r="G11" s="63">
        <f t="shared" si="4"/>
        <v>2557170</v>
      </c>
      <c r="H11" s="63">
        <f t="shared" si="4"/>
        <v>2474350.290872694</v>
      </c>
      <c r="I11" s="63">
        <f t="shared" si="4"/>
        <v>2430894.9364900859</v>
      </c>
      <c r="J11" s="63">
        <f t="shared" si="4"/>
        <v>2385739.6405479657</v>
      </c>
      <c r="K11" s="63">
        <f t="shared" si="4"/>
        <v>2338846.0553602693</v>
      </c>
      <c r="L11" s="89" t="s">
        <v>208</v>
      </c>
      <c r="N11" s="68"/>
      <c r="O11" s="62"/>
    </row>
    <row r="12" spans="1:18" s="60" customFormat="1" ht="43.9" x14ac:dyDescent="0.35">
      <c r="A12" s="105" t="s">
        <v>197</v>
      </c>
      <c r="B12" s="63">
        <f t="shared" ref="B12:K12" si="5">B6*$N$3+B11*$N$2</f>
        <v>1143900.2960000001</v>
      </c>
      <c r="C12" s="63">
        <f t="shared" si="5"/>
        <v>1134852.6840000001</v>
      </c>
      <c r="D12" s="63">
        <f t="shared" si="5"/>
        <v>1142363.334</v>
      </c>
      <c r="E12" s="63">
        <f t="shared" si="5"/>
        <v>1127520.548</v>
      </c>
      <c r="F12" s="63">
        <f t="shared" si="5"/>
        <v>1113361.3400000001</v>
      </c>
      <c r="G12" s="63">
        <f t="shared" si="5"/>
        <v>1113391.818</v>
      </c>
      <c r="H12" s="63">
        <f t="shared" si="5"/>
        <v>1077332.1166459711</v>
      </c>
      <c r="I12" s="63">
        <f t="shared" si="5"/>
        <v>1058411.6553477834</v>
      </c>
      <c r="J12" s="63">
        <f t="shared" si="5"/>
        <v>1038751.0394945843</v>
      </c>
      <c r="K12" s="63">
        <f t="shared" si="5"/>
        <v>1018333.5725038613</v>
      </c>
      <c r="L12" s="108" t="s">
        <v>209</v>
      </c>
    </row>
    <row r="13" spans="1:18" s="60" customFormat="1" ht="72" x14ac:dyDescent="0.3">
      <c r="A13" s="105"/>
      <c r="B13" s="146" t="s">
        <v>210</v>
      </c>
      <c r="C13" s="147"/>
      <c r="D13" s="147"/>
      <c r="E13" s="147"/>
      <c r="F13" s="147"/>
      <c r="G13" s="147"/>
      <c r="H13" s="147"/>
      <c r="I13" s="147"/>
      <c r="J13" s="148"/>
      <c r="K13" s="87">
        <v>29674.725560290433</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6">$K$13*B14</f>
        <v>24244.250782757281</v>
      </c>
      <c r="C15" s="88">
        <f t="shared" si="6"/>
        <v>23235.310113707412</v>
      </c>
      <c r="D15" s="88">
        <f t="shared" si="6"/>
        <v>22226.369444657535</v>
      </c>
      <c r="E15" s="88">
        <f t="shared" si="6"/>
        <v>21217.428775607659</v>
      </c>
      <c r="F15" s="88">
        <f t="shared" si="6"/>
        <v>20208.488106557787</v>
      </c>
      <c r="G15" s="88">
        <f t="shared" si="6"/>
        <v>19199.54743750791</v>
      </c>
      <c r="H15" s="88">
        <f t="shared" si="6"/>
        <v>18220.281494018327</v>
      </c>
      <c r="I15" s="88">
        <f t="shared" si="6"/>
        <v>17211.340824968451</v>
      </c>
      <c r="J15" s="88">
        <f t="shared" si="6"/>
        <v>16202.400155918578</v>
      </c>
      <c r="K15" s="88">
        <f t="shared" si="6"/>
        <v>15163.784761308412</v>
      </c>
      <c r="L15" s="108" t="s">
        <v>211</v>
      </c>
    </row>
    <row r="16" spans="1:18" s="60" customFormat="1" ht="30" x14ac:dyDescent="0.35">
      <c r="A16" s="105" t="s">
        <v>199</v>
      </c>
      <c r="B16" s="82">
        <f>B12/B3</f>
        <v>0.27557222259696462</v>
      </c>
      <c r="C16" s="82">
        <f t="shared" ref="C16:K16" si="7">C12/C3</f>
        <v>0.26841359602649012</v>
      </c>
      <c r="D16" s="82">
        <f t="shared" si="7"/>
        <v>0.26566589162790699</v>
      </c>
      <c r="E16" s="82">
        <f t="shared" si="7"/>
        <v>0.25801385537757437</v>
      </c>
      <c r="F16" s="82">
        <f t="shared" si="7"/>
        <v>0.25070059446070708</v>
      </c>
      <c r="G16" s="82">
        <f t="shared" si="7"/>
        <v>0.24720067007104796</v>
      </c>
      <c r="H16" s="82">
        <f t="shared" si="7"/>
        <v>0.23946094803248799</v>
      </c>
      <c r="I16" s="82">
        <f t="shared" si="7"/>
        <v>0.23208373818062519</v>
      </c>
      <c r="J16" s="82">
        <f t="shared" si="7"/>
        <v>0.22470181243715906</v>
      </c>
      <c r="K16" s="82">
        <f t="shared" si="7"/>
        <v>0.21731523438181599</v>
      </c>
      <c r="L16" s="89" t="s">
        <v>212</v>
      </c>
    </row>
    <row r="17" spans="1:18" s="60" customFormat="1" ht="30.6" thickBot="1" x14ac:dyDescent="0.4">
      <c r="A17" s="105" t="s">
        <v>200</v>
      </c>
      <c r="B17" s="81">
        <f>B15*B16</f>
        <v>6681.0420734026229</v>
      </c>
      <c r="C17" s="81">
        <f t="shared" ref="C17:K17" si="8">C15*C16</f>
        <v>6236.6731424108812</v>
      </c>
      <c r="D17" s="81">
        <f t="shared" si="8"/>
        <v>5904.7882561662118</v>
      </c>
      <c r="E17" s="81">
        <f t="shared" si="8"/>
        <v>5474.3905995936193</v>
      </c>
      <c r="F17" s="81">
        <f t="shared" si="8"/>
        <v>5066.2799814661657</v>
      </c>
      <c r="G17" s="81">
        <f t="shared" si="8"/>
        <v>4746.1409916128268</v>
      </c>
      <c r="H17" s="81">
        <f t="shared" si="8"/>
        <v>4363.0458799764256</v>
      </c>
      <c r="I17" s="81">
        <f t="shared" si="8"/>
        <v>3994.4723177594838</v>
      </c>
      <c r="J17" s="81">
        <f t="shared" si="8"/>
        <v>3640.7086808670128</v>
      </c>
      <c r="K17" s="81">
        <f t="shared" si="8"/>
        <v>3295.3214395191471</v>
      </c>
      <c r="L17" s="89" t="s">
        <v>213</v>
      </c>
    </row>
    <row r="18" spans="1:18" ht="43.9" thickBot="1" x14ac:dyDescent="0.35">
      <c r="A18" s="128" t="s">
        <v>201</v>
      </c>
      <c r="B18" s="84">
        <f t="shared" ref="B18:K18" si="9">B12*(B14/$N$7)-B17</f>
        <v>1091517.0094330604</v>
      </c>
      <c r="C18" s="84">
        <f t="shared" si="9"/>
        <v>1037934.4802911967</v>
      </c>
      <c r="D18" s="84">
        <f t="shared" si="9"/>
        <v>999536.0309753262</v>
      </c>
      <c r="E18" s="84">
        <f t="shared" si="9"/>
        <v>941854.85948266252</v>
      </c>
      <c r="F18" s="84">
        <f t="shared" si="9"/>
        <v>885884.45155789948</v>
      </c>
      <c r="G18" s="84">
        <f t="shared" si="9"/>
        <v>841745.64073106635</v>
      </c>
      <c r="H18" s="84">
        <f t="shared" si="9"/>
        <v>772936.50714073586</v>
      </c>
      <c r="I18" s="84">
        <f t="shared" si="9"/>
        <v>717367.17292514804</v>
      </c>
      <c r="J18" s="84">
        <f t="shared" si="9"/>
        <v>662820.00526042923</v>
      </c>
      <c r="K18" s="84">
        <f t="shared" si="9"/>
        <v>608183.47474082524</v>
      </c>
      <c r="L18" s="93" t="s">
        <v>214</v>
      </c>
      <c r="N18" s="60"/>
      <c r="O18" s="60"/>
      <c r="P18" s="60"/>
      <c r="Q18" s="60"/>
      <c r="R18" s="60"/>
    </row>
    <row r="19" spans="1:18" ht="14.45" x14ac:dyDescent="0.3">
      <c r="A19" s="85"/>
      <c r="B19" s="85"/>
      <c r="C19" s="85"/>
      <c r="D19" s="85"/>
      <c r="E19" s="85"/>
      <c r="F19" s="85"/>
      <c r="G19" s="85"/>
      <c r="H19" s="85"/>
      <c r="I19" s="85"/>
      <c r="J19" s="85"/>
      <c r="K19" s="85"/>
    </row>
  </sheetData>
  <mergeCells count="3">
    <mergeCell ref="B1:L1"/>
    <mergeCell ref="N1:O1"/>
    <mergeCell ref="B13:J1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41.28515625" customWidth="1"/>
    <col min="2" max="11" width="7" bestFit="1" customWidth="1"/>
    <col min="12" max="12" width="55" style="3" customWidth="1"/>
    <col min="14" max="14" width="8.7109375" customWidth="1"/>
    <col min="15" max="15" width="37.140625" customWidth="1"/>
  </cols>
  <sheetData>
    <row r="1" spans="1:18" s="60" customFormat="1" ht="15.6" x14ac:dyDescent="0.3">
      <c r="A1" s="103" t="s">
        <v>106</v>
      </c>
      <c r="B1" s="141" t="s">
        <v>176</v>
      </c>
      <c r="C1" s="142"/>
      <c r="D1" s="142"/>
      <c r="E1" s="142"/>
      <c r="F1" s="142"/>
      <c r="G1" s="142"/>
      <c r="H1" s="142"/>
      <c r="I1" s="142"/>
      <c r="J1" s="142"/>
      <c r="K1" s="142"/>
      <c r="L1" s="143"/>
      <c r="N1" s="144" t="s">
        <v>196</v>
      </c>
      <c r="O1" s="145"/>
      <c r="P1" s="62"/>
    </row>
    <row r="2" spans="1:18" s="60" customFormat="1" ht="30"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v>7212.9164204153376</v>
      </c>
      <c r="C3" s="67">
        <f t="shared" ref="C3:G3" si="0">B3*(1+$N$9)</f>
        <v>7306.1704342582125</v>
      </c>
      <c r="D3" s="67">
        <f t="shared" si="0"/>
        <v>7400.6301061998274</v>
      </c>
      <c r="E3" s="67">
        <f t="shared" si="0"/>
        <v>7496.3110238957815</v>
      </c>
      <c r="F3" s="67">
        <f t="shared" si="0"/>
        <v>7593.2289765306214</v>
      </c>
      <c r="G3" s="67">
        <f t="shared" si="0"/>
        <v>7691.3999574233585</v>
      </c>
      <c r="H3" s="67">
        <f t="shared" ref="H3:K4" si="1">G3*(1+$N$9)</f>
        <v>7790.8401666666741</v>
      </c>
      <c r="I3" s="67">
        <f t="shared" si="1"/>
        <v>7891.5660138002422</v>
      </c>
      <c r="J3" s="67">
        <f t="shared" si="1"/>
        <v>7993.5941205186218</v>
      </c>
      <c r="K3" s="67">
        <f t="shared" si="1"/>
        <v>8096.9413234141521</v>
      </c>
      <c r="L3" s="89" t="s">
        <v>219</v>
      </c>
      <c r="N3" s="64">
        <v>0.91839999999999999</v>
      </c>
      <c r="O3" s="9" t="s">
        <v>203</v>
      </c>
    </row>
    <row r="4" spans="1:18" s="60" customFormat="1" ht="57.6" x14ac:dyDescent="0.3">
      <c r="A4" s="105" t="s">
        <v>170</v>
      </c>
      <c r="B4" s="63">
        <f>SUMIFS('Form 1.1c'!J:J, 'Form 1.1c'!$B:$B, "Kirkwood Meadows Public Utility District")*1000</f>
        <v>7000</v>
      </c>
      <c r="C4" s="63">
        <f>SUMIFS('Form 1.1c'!K:K, 'Form 1.1c'!$B:$B, "Kirkwood Meadows Public Utility District")*1000</f>
        <v>7000</v>
      </c>
      <c r="D4" s="63">
        <f>SUMIFS('Form 1.1c'!L:L, 'Form 1.1c'!$B:$B, "Kirkwood Meadows Public Utility District")*1000</f>
        <v>7000</v>
      </c>
      <c r="E4" s="63">
        <f>SUMIFS('Form 1.1c'!M:M, 'Form 1.1c'!$B:$B, "Kirkwood Meadows Public Utility District")*1000</f>
        <v>7000</v>
      </c>
      <c r="F4" s="63">
        <f>SUMIFS('Form 1.1c'!N:N, 'Form 1.1c'!$B:$B, "Kirkwood Meadows Public Utility District")*1000</f>
        <v>7000</v>
      </c>
      <c r="G4" s="63">
        <f>SUMIFS('Form 1.1c'!O:O, 'Form 1.1c'!$B:$B, "Kirkwood Meadows Public Utility District")*1000</f>
        <v>7000</v>
      </c>
      <c r="H4" s="67">
        <f>AVERAGE(E4:G4)*(1+$N$9)</f>
        <v>7090.5012700622055</v>
      </c>
      <c r="I4" s="63">
        <f t="shared" si="1"/>
        <v>7182.1726086791068</v>
      </c>
      <c r="J4" s="63">
        <f t="shared" si="1"/>
        <v>7275.0291433778839</v>
      </c>
      <c r="K4" s="63">
        <f t="shared" si="1"/>
        <v>7369.0861972657776</v>
      </c>
      <c r="L4" s="89" t="s">
        <v>222</v>
      </c>
      <c r="N4" s="70">
        <f>0.15</f>
        <v>0.15</v>
      </c>
      <c r="O4" s="89" t="s">
        <v>166</v>
      </c>
    </row>
    <row r="5" spans="1:18" s="60" customFormat="1" ht="28.9" x14ac:dyDescent="0.3">
      <c r="A5" s="105" t="s">
        <v>194</v>
      </c>
      <c r="B5" s="63">
        <f>IF(AND(0&lt;(B3-B4)/B3,(B3-B4)/B3&lt;$N$4),B4,B3*(1-$N$5))</f>
        <v>7000</v>
      </c>
      <c r="C5" s="63">
        <f t="shared" ref="C5:K5" si="2">IF(AND(0&lt;(C3-C4)/C3,(C3-C4)/C3&lt;$N$4),C4,C3*(1-$N$5))</f>
        <v>7000</v>
      </c>
      <c r="D5" s="63">
        <f t="shared" si="2"/>
        <v>7000</v>
      </c>
      <c r="E5" s="63">
        <f t="shared" si="2"/>
        <v>7000</v>
      </c>
      <c r="F5" s="63">
        <f t="shared" si="2"/>
        <v>7000</v>
      </c>
      <c r="G5" s="63">
        <f t="shared" si="2"/>
        <v>7000</v>
      </c>
      <c r="H5" s="63">
        <f t="shared" si="2"/>
        <v>7090.5012700622055</v>
      </c>
      <c r="I5" s="63">
        <f t="shared" si="2"/>
        <v>7182.1726086791068</v>
      </c>
      <c r="J5" s="63">
        <f t="shared" si="2"/>
        <v>7275.0291433778839</v>
      </c>
      <c r="K5" s="63">
        <f t="shared" si="2"/>
        <v>7369.0861972657776</v>
      </c>
      <c r="L5" s="89" t="s">
        <v>223</v>
      </c>
      <c r="N5" s="70">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14.45" x14ac:dyDescent="0.3">
      <c r="A8" s="105" t="s">
        <v>173</v>
      </c>
      <c r="B8" s="63">
        <v>0</v>
      </c>
      <c r="C8" s="63">
        <v>0</v>
      </c>
      <c r="D8" s="63">
        <v>0</v>
      </c>
      <c r="E8" s="63">
        <v>0</v>
      </c>
      <c r="F8" s="63">
        <v>0</v>
      </c>
      <c r="G8" s="63">
        <v>0</v>
      </c>
      <c r="H8" s="63">
        <v>0</v>
      </c>
      <c r="I8" s="63">
        <v>0</v>
      </c>
      <c r="J8" s="63">
        <v>0</v>
      </c>
      <c r="K8" s="63">
        <v>0</v>
      </c>
      <c r="L8" s="120" t="s">
        <v>246</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1.2928752866029347E-2</v>
      </c>
      <c r="O9" s="89" t="s">
        <v>206</v>
      </c>
    </row>
    <row r="10" spans="1:18" s="60" customFormat="1" ht="15.6" x14ac:dyDescent="0.3">
      <c r="A10" s="105" t="s">
        <v>174</v>
      </c>
      <c r="B10" s="63">
        <f t="shared" ref="B10:K10" si="3">B5*B9</f>
        <v>2380</v>
      </c>
      <c r="C10" s="63">
        <f t="shared" si="3"/>
        <v>2520</v>
      </c>
      <c r="D10" s="63">
        <f t="shared" si="3"/>
        <v>2590</v>
      </c>
      <c r="E10" s="63">
        <f t="shared" si="3"/>
        <v>2730</v>
      </c>
      <c r="F10" s="63">
        <f t="shared" si="3"/>
        <v>2870</v>
      </c>
      <c r="G10" s="63">
        <f t="shared" si="3"/>
        <v>2940</v>
      </c>
      <c r="H10" s="63">
        <f t="shared" si="3"/>
        <v>3119.8205588273704</v>
      </c>
      <c r="I10" s="63">
        <f t="shared" si="3"/>
        <v>3303.7993999923892</v>
      </c>
      <c r="J10" s="63">
        <f t="shared" si="3"/>
        <v>3492.0139888213839</v>
      </c>
      <c r="K10" s="63">
        <f t="shared" si="3"/>
        <v>3684.5430986328888</v>
      </c>
      <c r="L10" s="89" t="s">
        <v>207</v>
      </c>
      <c r="N10" s="68"/>
      <c r="O10" s="62"/>
    </row>
    <row r="11" spans="1:18" s="60" customFormat="1" ht="28.9" x14ac:dyDescent="0.3">
      <c r="A11" s="105" t="s">
        <v>175</v>
      </c>
      <c r="B11" s="63">
        <f>MAX(B3-SUM(B6:B8,B10), B3*$N$6)</f>
        <v>4832.9164204153376</v>
      </c>
      <c r="C11" s="63">
        <f t="shared" ref="C11:K11" si="4">MAX(C3-SUM(C6:C8,C10), C3*$N$6)</f>
        <v>4786.1704342582125</v>
      </c>
      <c r="D11" s="63">
        <f t="shared" si="4"/>
        <v>4810.6301061998274</v>
      </c>
      <c r="E11" s="63">
        <f t="shared" si="4"/>
        <v>4766.3110238957815</v>
      </c>
      <c r="F11" s="63">
        <f t="shared" si="4"/>
        <v>4723.2289765306214</v>
      </c>
      <c r="G11" s="63">
        <f t="shared" si="4"/>
        <v>4751.3999574233585</v>
      </c>
      <c r="H11" s="63">
        <f t="shared" si="4"/>
        <v>4671.0196078393037</v>
      </c>
      <c r="I11" s="63">
        <f t="shared" si="4"/>
        <v>4587.766613807853</v>
      </c>
      <c r="J11" s="63">
        <f t="shared" si="4"/>
        <v>4501.5801316972374</v>
      </c>
      <c r="K11" s="63">
        <f t="shared" si="4"/>
        <v>4412.3982247812637</v>
      </c>
      <c r="L11" s="89" t="s">
        <v>208</v>
      </c>
      <c r="N11" s="68"/>
      <c r="O11" s="62"/>
    </row>
    <row r="12" spans="1:18" s="60" customFormat="1" ht="43.9" x14ac:dyDescent="0.35">
      <c r="A12" s="105" t="s">
        <v>197</v>
      </c>
      <c r="B12" s="63">
        <f t="shared" ref="B12:K12" si="5">B6*$N$3+B11*$N$2</f>
        <v>2104.2518094488382</v>
      </c>
      <c r="C12" s="63">
        <f t="shared" si="5"/>
        <v>2083.8986070760257</v>
      </c>
      <c r="D12" s="63">
        <f t="shared" si="5"/>
        <v>2094.5483482394047</v>
      </c>
      <c r="E12" s="63">
        <f t="shared" si="5"/>
        <v>2075.2518198042235</v>
      </c>
      <c r="F12" s="63">
        <f t="shared" si="5"/>
        <v>2056.4938963814325</v>
      </c>
      <c r="G12" s="63">
        <f t="shared" si="5"/>
        <v>2068.7595414621305</v>
      </c>
      <c r="H12" s="63">
        <f t="shared" si="5"/>
        <v>2033.7619372532329</v>
      </c>
      <c r="I12" s="63">
        <f t="shared" si="5"/>
        <v>1997.5135836519391</v>
      </c>
      <c r="J12" s="63">
        <f t="shared" si="5"/>
        <v>1959.9879893409773</v>
      </c>
      <c r="K12" s="63">
        <f t="shared" si="5"/>
        <v>1921.1581870697623</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8" s="60" customFormat="1" ht="15.6" x14ac:dyDescent="0.35">
      <c r="A16" s="105" t="s">
        <v>199</v>
      </c>
      <c r="B16" s="82">
        <f t="shared" ref="B16:K16" si="7">B12/B3</f>
        <v>0.29173384062693331</v>
      </c>
      <c r="C16" s="82">
        <f t="shared" si="7"/>
        <v>0.2852244723589728</v>
      </c>
      <c r="D16" s="82">
        <f t="shared" si="7"/>
        <v>0.28302297482544236</v>
      </c>
      <c r="E16" s="82">
        <f t="shared" si="7"/>
        <v>0.27683640835992546</v>
      </c>
      <c r="F16" s="82">
        <f t="shared" si="7"/>
        <v>0.27083259345104765</v>
      </c>
      <c r="G16" s="82">
        <f t="shared" si="7"/>
        <v>0.26897048039550542</v>
      </c>
      <c r="H16" s="82">
        <f t="shared" si="7"/>
        <v>0.26104526517624371</v>
      </c>
      <c r="I16" s="82">
        <f t="shared" si="7"/>
        <v>0.25312004995698206</v>
      </c>
      <c r="J16" s="82">
        <f t="shared" si="7"/>
        <v>0.24519483473772044</v>
      </c>
      <c r="K16" s="82">
        <f t="shared" si="7"/>
        <v>0.23726961951845882</v>
      </c>
      <c r="L16" s="89" t="s">
        <v>212</v>
      </c>
    </row>
    <row r="17" spans="1:18" s="60" customFormat="1" ht="30"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8" ht="43.9" thickBot="1" x14ac:dyDescent="0.35">
      <c r="A18" s="128" t="s">
        <v>201</v>
      </c>
      <c r="B18" s="84">
        <f t="shared" ref="B18:K18" si="9">B12*(B14/$N$7)-B17</f>
        <v>2020.1806443239727</v>
      </c>
      <c r="C18" s="84">
        <f t="shared" si="9"/>
        <v>1917.3826196715959</v>
      </c>
      <c r="D18" s="84">
        <f t="shared" si="9"/>
        <v>1843.4978999192881</v>
      </c>
      <c r="E18" s="84">
        <f t="shared" si="9"/>
        <v>1743.6017052409163</v>
      </c>
      <c r="F18" s="84">
        <f t="shared" si="9"/>
        <v>1645.6784294192194</v>
      </c>
      <c r="G18" s="84">
        <f t="shared" si="9"/>
        <v>1572.8406854594577</v>
      </c>
      <c r="H18" s="84">
        <f t="shared" si="9"/>
        <v>1467.36760220151</v>
      </c>
      <c r="I18" s="84">
        <f t="shared" si="9"/>
        <v>1361.4076128297588</v>
      </c>
      <c r="J18" s="84">
        <f t="shared" si="9"/>
        <v>1257.5246089073721</v>
      </c>
      <c r="K18" s="84">
        <f t="shared" si="9"/>
        <v>1153.5979243156858</v>
      </c>
      <c r="L18" s="93" t="s">
        <v>214</v>
      </c>
      <c r="N18" s="60"/>
      <c r="O18" s="60"/>
      <c r="P18" s="60"/>
      <c r="Q18" s="60"/>
      <c r="R18" s="60"/>
    </row>
    <row r="19" spans="1:18" ht="14.45" x14ac:dyDescent="0.3">
      <c r="A19" s="85"/>
      <c r="B19" s="85"/>
      <c r="C19" s="85"/>
      <c r="D19" s="85"/>
      <c r="E19" s="85"/>
      <c r="F19" s="85"/>
      <c r="G19" s="85"/>
      <c r="H19" s="85"/>
      <c r="I19" s="85"/>
      <c r="J19" s="85"/>
      <c r="K19" s="85"/>
    </row>
  </sheetData>
  <mergeCells count="3">
    <mergeCell ref="B1:L1"/>
    <mergeCell ref="N1:O1"/>
    <mergeCell ref="B13:J13"/>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37" customWidth="1"/>
    <col min="2" max="11" width="9" bestFit="1" customWidth="1"/>
    <col min="12" max="12" width="49.28515625" style="3" customWidth="1"/>
    <col min="14" max="14" width="8.7109375" customWidth="1"/>
    <col min="15" max="15" width="35.7109375" customWidth="1"/>
  </cols>
  <sheetData>
    <row r="1" spans="1:18" s="60" customFormat="1" ht="15.6" x14ac:dyDescent="0.3">
      <c r="A1" s="103" t="s">
        <v>18</v>
      </c>
      <c r="B1" s="141" t="s">
        <v>176</v>
      </c>
      <c r="C1" s="142"/>
      <c r="D1" s="142"/>
      <c r="E1" s="142"/>
      <c r="F1" s="142"/>
      <c r="G1" s="142"/>
      <c r="H1" s="142"/>
      <c r="I1" s="142"/>
      <c r="J1" s="142"/>
      <c r="K1" s="142"/>
      <c r="L1" s="143"/>
      <c r="N1" s="144" t="s">
        <v>196</v>
      </c>
      <c r="O1" s="145"/>
      <c r="P1" s="62"/>
    </row>
    <row r="2" spans="1:18" s="60" customFormat="1" ht="30"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58.9" x14ac:dyDescent="0.35">
      <c r="A3" s="105" t="s">
        <v>169</v>
      </c>
      <c r="B3" s="63">
        <v>147567.63992180148</v>
      </c>
      <c r="C3" s="67">
        <f t="shared" ref="C3:G3" si="0">B3*(1+$N$9)</f>
        <v>148205.2226222491</v>
      </c>
      <c r="D3" s="67">
        <f t="shared" si="0"/>
        <v>148845.56007096081</v>
      </c>
      <c r="E3" s="67">
        <f t="shared" si="0"/>
        <v>149488.66417013845</v>
      </c>
      <c r="F3" s="67">
        <f t="shared" si="0"/>
        <v>150134.54687340869</v>
      </c>
      <c r="G3" s="67">
        <f t="shared" si="0"/>
        <v>150783.22018604519</v>
      </c>
      <c r="H3" s="67">
        <f t="shared" ref="H3:K4" si="1">G3*(1+$N$9)</f>
        <v>151434.69616519177</v>
      </c>
      <c r="I3" s="67">
        <f t="shared" si="1"/>
        <v>152088.98692008646</v>
      </c>
      <c r="J3" s="67">
        <f t="shared" si="1"/>
        <v>152746.1046122867</v>
      </c>
      <c r="K3" s="67">
        <f t="shared" si="1"/>
        <v>153406.06145589525</v>
      </c>
      <c r="L3" s="89" t="s">
        <v>219</v>
      </c>
      <c r="N3" s="64">
        <v>0.91839999999999999</v>
      </c>
      <c r="O3" s="9" t="s">
        <v>203</v>
      </c>
    </row>
    <row r="4" spans="1:18" s="60" customFormat="1" ht="57.6" x14ac:dyDescent="0.3">
      <c r="A4" s="105" t="s">
        <v>170</v>
      </c>
      <c r="B4" s="63">
        <f>SUMIFS('Form 1.1c'!J:J, 'Form 1.1c'!$B:$B, "Lassen Municipal Utility District")*1000</f>
        <v>135000</v>
      </c>
      <c r="C4" s="63">
        <f>SUMIFS('Form 1.1c'!K:K, 'Form 1.1c'!$B:$B, "Lassen Municipal Utility District")*1000</f>
        <v>136000</v>
      </c>
      <c r="D4" s="63">
        <f>SUMIFS('Form 1.1c'!L:L, 'Form 1.1c'!$B:$B, "Lassen Municipal Utility District")*1000</f>
        <v>137000</v>
      </c>
      <c r="E4" s="63">
        <f>SUMIFS('Form 1.1c'!M:M, 'Form 1.1c'!$B:$B, "Lassen Municipal Utility District")*1000</f>
        <v>137000</v>
      </c>
      <c r="F4" s="63">
        <f>SUMIFS('Form 1.1c'!N:N, 'Form 1.1c'!$B:$B, "Lassen Municipal Utility District")*1000</f>
        <v>138000</v>
      </c>
      <c r="G4" s="63">
        <f>SUMIFS('Form 1.1c'!O:O, 'Form 1.1c'!$B:$B, "Lassen Municipal Utility District")*1000</f>
        <v>138000</v>
      </c>
      <c r="H4" s="67">
        <f>AVERAGE(E4:G4)*(1+$N$9)</f>
        <v>138261.47109087149</v>
      </c>
      <c r="I4" s="63">
        <f t="shared" si="1"/>
        <v>138858.84543495323</v>
      </c>
      <c r="J4" s="63">
        <f t="shared" si="1"/>
        <v>139458.80080254175</v>
      </c>
      <c r="K4" s="63">
        <f t="shared" si="1"/>
        <v>140061.34834524142</v>
      </c>
      <c r="L4" s="89" t="s">
        <v>222</v>
      </c>
      <c r="N4" s="70">
        <f>0.15</f>
        <v>0.15</v>
      </c>
      <c r="O4" s="89" t="s">
        <v>166</v>
      </c>
    </row>
    <row r="5" spans="1:18" s="60" customFormat="1" ht="28.9" x14ac:dyDescent="0.3">
      <c r="A5" s="105" t="s">
        <v>194</v>
      </c>
      <c r="B5" s="63">
        <f t="shared" ref="B5:K5" si="2">IF(AND(0&lt;(B3-B4)/B3,(B3-B4)/B3&lt;$N$4),B4,B3*(1-$N$5))</f>
        <v>135000</v>
      </c>
      <c r="C5" s="63">
        <f t="shared" si="2"/>
        <v>136000</v>
      </c>
      <c r="D5" s="63">
        <f t="shared" si="2"/>
        <v>137000</v>
      </c>
      <c r="E5" s="63">
        <f t="shared" si="2"/>
        <v>137000</v>
      </c>
      <c r="F5" s="63">
        <f t="shared" si="2"/>
        <v>138000</v>
      </c>
      <c r="G5" s="63">
        <f t="shared" si="2"/>
        <v>138000</v>
      </c>
      <c r="H5" s="63">
        <f t="shared" si="2"/>
        <v>138261.47109087149</v>
      </c>
      <c r="I5" s="63">
        <f t="shared" si="2"/>
        <v>138858.84543495323</v>
      </c>
      <c r="J5" s="63">
        <f t="shared" si="2"/>
        <v>139458.80080254175</v>
      </c>
      <c r="K5" s="63">
        <f t="shared" si="2"/>
        <v>140061.34834524142</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57.6" x14ac:dyDescent="0.3">
      <c r="A8" s="105" t="s">
        <v>173</v>
      </c>
      <c r="B8" s="67">
        <v>29414.155466666671</v>
      </c>
      <c r="C8" s="67">
        <f>B8</f>
        <v>29414.155466666671</v>
      </c>
      <c r="D8" s="67">
        <f t="shared" ref="D8:K8" si="3">C8</f>
        <v>29414.155466666671</v>
      </c>
      <c r="E8" s="67">
        <f t="shared" si="3"/>
        <v>29414.155466666671</v>
      </c>
      <c r="F8" s="67">
        <f t="shared" si="3"/>
        <v>29414.155466666671</v>
      </c>
      <c r="G8" s="67">
        <f t="shared" si="3"/>
        <v>29414.155466666671</v>
      </c>
      <c r="H8" s="67">
        <f t="shared" si="3"/>
        <v>29414.155466666671</v>
      </c>
      <c r="I8" s="67">
        <f t="shared" si="3"/>
        <v>29414.155466666671</v>
      </c>
      <c r="J8" s="67">
        <f t="shared" si="3"/>
        <v>29414.155466666671</v>
      </c>
      <c r="K8" s="67">
        <f t="shared" si="3"/>
        <v>29414.155466666671</v>
      </c>
      <c r="L8" s="89" t="s">
        <v>263</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4.3206132508826212E-3</v>
      </c>
      <c r="O9" s="89" t="s">
        <v>206</v>
      </c>
    </row>
    <row r="10" spans="1:18" s="60" customFormat="1" ht="15.6" x14ac:dyDescent="0.3">
      <c r="A10" s="105" t="s">
        <v>174</v>
      </c>
      <c r="B10" s="63">
        <f>B5*B9</f>
        <v>45900</v>
      </c>
      <c r="C10" s="63">
        <f t="shared" ref="C10:K10" si="4">C5*C9</f>
        <v>48960</v>
      </c>
      <c r="D10" s="63">
        <f t="shared" si="4"/>
        <v>50690</v>
      </c>
      <c r="E10" s="63">
        <f t="shared" si="4"/>
        <v>53430</v>
      </c>
      <c r="F10" s="63">
        <f t="shared" si="4"/>
        <v>56580</v>
      </c>
      <c r="G10" s="63">
        <f t="shared" si="4"/>
        <v>57960</v>
      </c>
      <c r="H10" s="63">
        <f t="shared" si="4"/>
        <v>60835.047279983453</v>
      </c>
      <c r="I10" s="63">
        <f t="shared" si="4"/>
        <v>63875.068900078484</v>
      </c>
      <c r="J10" s="63">
        <f t="shared" si="4"/>
        <v>66940.224385220034</v>
      </c>
      <c r="K10" s="63">
        <f t="shared" si="4"/>
        <v>70030.674172620711</v>
      </c>
      <c r="L10" s="89" t="s">
        <v>207</v>
      </c>
      <c r="N10" s="68"/>
      <c r="O10" s="62"/>
    </row>
    <row r="11" spans="1:18" s="60" customFormat="1" ht="28.9" x14ac:dyDescent="0.3">
      <c r="A11" s="105" t="s">
        <v>175</v>
      </c>
      <c r="B11" s="63">
        <f t="shared" ref="B11:K11" si="5">MAX(B3-SUM(B6:B8,B10), B3*$N$6)</f>
        <v>72253.484455134807</v>
      </c>
      <c r="C11" s="63">
        <f t="shared" si="5"/>
        <v>69831.067155582423</v>
      </c>
      <c r="D11" s="63">
        <f t="shared" si="5"/>
        <v>68741.404604294134</v>
      </c>
      <c r="E11" s="63">
        <f t="shared" si="5"/>
        <v>66644.508703471773</v>
      </c>
      <c r="F11" s="63">
        <f t="shared" si="5"/>
        <v>64140.391406742012</v>
      </c>
      <c r="G11" s="63">
        <f t="shared" si="5"/>
        <v>63409.064719378512</v>
      </c>
      <c r="H11" s="63">
        <f t="shared" si="5"/>
        <v>61185.49341854165</v>
      </c>
      <c r="I11" s="63">
        <f t="shared" si="5"/>
        <v>58799.762553341308</v>
      </c>
      <c r="J11" s="63">
        <f t="shared" si="5"/>
        <v>56391.724760399986</v>
      </c>
      <c r="K11" s="63">
        <f t="shared" si="5"/>
        <v>53961.231816607877</v>
      </c>
      <c r="L11" s="89" t="s">
        <v>208</v>
      </c>
      <c r="N11" s="68"/>
      <c r="O11" s="62"/>
    </row>
    <row r="12" spans="1:18" s="60" customFormat="1" ht="43.9" x14ac:dyDescent="0.35">
      <c r="A12" s="105" t="s">
        <v>197</v>
      </c>
      <c r="B12" s="63">
        <f t="shared" ref="B12:K12" si="6">B6*$N$3+B11*$N$2</f>
        <v>31459.167131765695</v>
      </c>
      <c r="C12" s="63">
        <f t="shared" si="6"/>
        <v>30404.446639540587</v>
      </c>
      <c r="D12" s="63">
        <f t="shared" si="6"/>
        <v>29930.007564709667</v>
      </c>
      <c r="E12" s="63">
        <f t="shared" si="6"/>
        <v>29017.019089491609</v>
      </c>
      <c r="F12" s="63">
        <f t="shared" si="6"/>
        <v>27926.726418495473</v>
      </c>
      <c r="G12" s="63">
        <f t="shared" si="6"/>
        <v>27608.306778817405</v>
      </c>
      <c r="H12" s="63">
        <f t="shared" si="6"/>
        <v>26640.163834433035</v>
      </c>
      <c r="I12" s="63">
        <f t="shared" si="6"/>
        <v>25601.416615724807</v>
      </c>
      <c r="J12" s="63">
        <f t="shared" si="6"/>
        <v>24552.956960678155</v>
      </c>
      <c r="K12" s="63">
        <f t="shared" si="6"/>
        <v>23494.72033295107</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7">$K$13*B14</f>
        <v>0</v>
      </c>
      <c r="C15" s="88">
        <f t="shared" si="7"/>
        <v>0</v>
      </c>
      <c r="D15" s="88">
        <f t="shared" si="7"/>
        <v>0</v>
      </c>
      <c r="E15" s="88">
        <f t="shared" si="7"/>
        <v>0</v>
      </c>
      <c r="F15" s="88">
        <f t="shared" si="7"/>
        <v>0</v>
      </c>
      <c r="G15" s="88">
        <f t="shared" si="7"/>
        <v>0</v>
      </c>
      <c r="H15" s="88">
        <f t="shared" si="7"/>
        <v>0</v>
      </c>
      <c r="I15" s="88">
        <f t="shared" si="7"/>
        <v>0</v>
      </c>
      <c r="J15" s="88">
        <f t="shared" si="7"/>
        <v>0</v>
      </c>
      <c r="K15" s="88">
        <f t="shared" si="7"/>
        <v>0</v>
      </c>
      <c r="L15" s="108" t="s">
        <v>211</v>
      </c>
    </row>
    <row r="16" spans="1:18" s="60" customFormat="1" ht="30" x14ac:dyDescent="0.35">
      <c r="A16" s="105" t="s">
        <v>199</v>
      </c>
      <c r="B16" s="82">
        <f t="shared" ref="B16:K16" si="8">B12/B3</f>
        <v>0.21318472768444643</v>
      </c>
      <c r="C16" s="82">
        <f t="shared" si="8"/>
        <v>0.20515097984796768</v>
      </c>
      <c r="D16" s="82">
        <f t="shared" si="8"/>
        <v>0.20108095633111797</v>
      </c>
      <c r="E16" s="82">
        <f t="shared" si="8"/>
        <v>0.19410849144030273</v>
      </c>
      <c r="F16" s="82">
        <f t="shared" si="8"/>
        <v>0.18601132783944052</v>
      </c>
      <c r="G16" s="82">
        <f t="shared" si="8"/>
        <v>0.18309933124357375</v>
      </c>
      <c r="H16" s="82">
        <f t="shared" si="8"/>
        <v>0.17591849496216341</v>
      </c>
      <c r="I16" s="82">
        <f t="shared" si="8"/>
        <v>0.16833182424429455</v>
      </c>
      <c r="J16" s="82">
        <f t="shared" si="8"/>
        <v>0.16074358834224009</v>
      </c>
      <c r="K16" s="82">
        <f t="shared" si="8"/>
        <v>0.15315379398946294</v>
      </c>
      <c r="L16" s="89" t="s">
        <v>212</v>
      </c>
    </row>
    <row r="17" spans="1:18" s="60" customFormat="1" ht="30.6" thickBot="1" x14ac:dyDescent="0.4">
      <c r="A17" s="105" t="s">
        <v>200</v>
      </c>
      <c r="B17" s="81">
        <f>B15*B16</f>
        <v>0</v>
      </c>
      <c r="C17" s="81">
        <f t="shared" ref="C17:K17" si="9">C15*C16</f>
        <v>0</v>
      </c>
      <c r="D17" s="81">
        <f t="shared" si="9"/>
        <v>0</v>
      </c>
      <c r="E17" s="81">
        <f t="shared" si="9"/>
        <v>0</v>
      </c>
      <c r="F17" s="81">
        <f t="shared" si="9"/>
        <v>0</v>
      </c>
      <c r="G17" s="81">
        <f t="shared" si="9"/>
        <v>0</v>
      </c>
      <c r="H17" s="81">
        <f t="shared" si="9"/>
        <v>0</v>
      </c>
      <c r="I17" s="81">
        <f t="shared" si="9"/>
        <v>0</v>
      </c>
      <c r="J17" s="81">
        <f t="shared" si="9"/>
        <v>0</v>
      </c>
      <c r="K17" s="81">
        <f t="shared" si="9"/>
        <v>0</v>
      </c>
      <c r="L17" s="89" t="s">
        <v>213</v>
      </c>
    </row>
    <row r="18" spans="1:18" ht="43.9" thickBot="1" x14ac:dyDescent="0.35">
      <c r="A18" s="128" t="s">
        <v>201</v>
      </c>
      <c r="B18" s="84">
        <f t="shared" ref="B18:K18" si="10">B12*(B14/$N$7)-B17</f>
        <v>30202.279138252143</v>
      </c>
      <c r="C18" s="84">
        <f t="shared" si="10"/>
        <v>27974.949140728884</v>
      </c>
      <c r="D18" s="84">
        <f t="shared" si="10"/>
        <v>26342.627104544703</v>
      </c>
      <c r="E18" s="84">
        <f t="shared" si="10"/>
        <v>24379.751643932432</v>
      </c>
      <c r="F18" s="84">
        <f t="shared" si="10"/>
        <v>22347.944407750201</v>
      </c>
      <c r="G18" s="84">
        <f t="shared" si="10"/>
        <v>20990.099278372341</v>
      </c>
      <c r="H18" s="84">
        <f t="shared" si="10"/>
        <v>19220.987772434644</v>
      </c>
      <c r="I18" s="84">
        <f t="shared" si="10"/>
        <v>17448.674074172017</v>
      </c>
      <c r="J18" s="84">
        <f t="shared" si="10"/>
        <v>15753.131022949794</v>
      </c>
      <c r="K18" s="84">
        <f t="shared" si="10"/>
        <v>14107.87554657814</v>
      </c>
      <c r="L18" s="93" t="s">
        <v>214</v>
      </c>
      <c r="N18" s="60"/>
      <c r="O18" s="60"/>
      <c r="P18" s="60"/>
      <c r="Q18" s="60"/>
      <c r="R18" s="60"/>
    </row>
    <row r="19" spans="1:18" x14ac:dyDescent="0.25">
      <c r="A19" s="85"/>
      <c r="B19" s="85"/>
      <c r="C19" s="85"/>
      <c r="D19" s="85"/>
      <c r="E19" s="85"/>
      <c r="F19" s="85"/>
      <c r="G19" s="85"/>
      <c r="H19" s="85"/>
      <c r="I19" s="85"/>
      <c r="J19" s="85"/>
      <c r="K19" s="85"/>
      <c r="N19" s="60"/>
      <c r="O19" s="60"/>
      <c r="P19" s="60"/>
      <c r="Q19" s="60"/>
      <c r="R19" s="60"/>
    </row>
  </sheetData>
  <mergeCells count="3">
    <mergeCell ref="B1:L1"/>
    <mergeCell ref="N1:O1"/>
    <mergeCell ref="B13:J1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heetViews>
  <sheetFormatPr defaultRowHeight="15" x14ac:dyDescent="0.25"/>
  <cols>
    <col min="1" max="1" width="37" customWidth="1"/>
    <col min="2" max="11" width="9" bestFit="1" customWidth="1"/>
    <col min="12" max="12" width="49.28515625" style="3" customWidth="1"/>
    <col min="14" max="14" width="8.7109375" customWidth="1"/>
    <col min="15" max="15" width="45.140625" customWidth="1"/>
  </cols>
  <sheetData>
    <row r="1" spans="1:18" s="60" customFormat="1" ht="15.6" x14ac:dyDescent="0.3">
      <c r="A1" s="103" t="s">
        <v>29</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f t="shared" ref="B3:K3" si="0">B4/(1-$N$5)</f>
        <v>603225.80645161297</v>
      </c>
      <c r="C3" s="63">
        <f t="shared" si="0"/>
        <v>608602.1505376345</v>
      </c>
      <c r="D3" s="63">
        <f t="shared" si="0"/>
        <v>613978.49462365592</v>
      </c>
      <c r="E3" s="63">
        <f t="shared" si="0"/>
        <v>618279.56989247317</v>
      </c>
      <c r="F3" s="63">
        <f t="shared" si="0"/>
        <v>621505.37634408602</v>
      </c>
      <c r="G3" s="63">
        <f t="shared" si="0"/>
        <v>624731.18279569899</v>
      </c>
      <c r="H3" s="63">
        <f t="shared" si="0"/>
        <v>625987.46017557522</v>
      </c>
      <c r="I3" s="63">
        <f t="shared" si="0"/>
        <v>630501.86725998728</v>
      </c>
      <c r="J3" s="63">
        <f t="shared" si="0"/>
        <v>635048.83070154767</v>
      </c>
      <c r="K3" s="63">
        <f t="shared" si="0"/>
        <v>639628.5852855494</v>
      </c>
      <c r="L3" s="89" t="s">
        <v>221</v>
      </c>
      <c r="N3" s="64">
        <v>0.91839999999999999</v>
      </c>
      <c r="O3" s="9" t="s">
        <v>203</v>
      </c>
    </row>
    <row r="4" spans="1:18" s="60" customFormat="1" ht="57.6" x14ac:dyDescent="0.3">
      <c r="A4" s="105" t="s">
        <v>170</v>
      </c>
      <c r="B4" s="63">
        <f>SUMIFS('Form 1.1c'!J:J, 'Form 1.1c'!$B:$B, "Liberty Utilities")*1000</f>
        <v>561000</v>
      </c>
      <c r="C4" s="63">
        <f>SUMIFS('Form 1.1c'!K:K, 'Form 1.1c'!$B:$B, "Liberty Utilities")*1000</f>
        <v>566000</v>
      </c>
      <c r="D4" s="63">
        <f>SUMIFS('Form 1.1c'!L:L, 'Form 1.1c'!$B:$B, "Liberty Utilities")*1000</f>
        <v>571000</v>
      </c>
      <c r="E4" s="63">
        <f>SUMIFS('Form 1.1c'!M:M, 'Form 1.1c'!$B:$B, "Liberty Utilities")*1000</f>
        <v>575000</v>
      </c>
      <c r="F4" s="63">
        <f>SUMIFS('Form 1.1c'!N:N, 'Form 1.1c'!$B:$B, "Liberty Utilities")*1000</f>
        <v>578000</v>
      </c>
      <c r="G4" s="63">
        <f>SUMIFS('Form 1.1c'!O:O, 'Form 1.1c'!$B:$B, "Liberty Utilities")*1000</f>
        <v>581000</v>
      </c>
      <c r="H4" s="67">
        <f>AVERAGE(E4:G4)*(1+$N$9)</f>
        <v>582168.33796328492</v>
      </c>
      <c r="I4" s="63">
        <f>H4*(1+$N$9)</f>
        <v>586366.73655178817</v>
      </c>
      <c r="J4" s="63">
        <f>I4*(1+$N$9)</f>
        <v>590595.41255243926</v>
      </c>
      <c r="K4" s="63">
        <f>J4*(1+$N$9)</f>
        <v>594854.58431556087</v>
      </c>
      <c r="L4" s="89" t="s">
        <v>222</v>
      </c>
      <c r="N4" s="70">
        <f>0.15</f>
        <v>0.15</v>
      </c>
      <c r="O4" s="89" t="s">
        <v>166</v>
      </c>
    </row>
    <row r="5" spans="1:18" s="60" customFormat="1" ht="28.9" x14ac:dyDescent="0.3">
      <c r="A5" s="105" t="s">
        <v>194</v>
      </c>
      <c r="B5" s="63">
        <f t="shared" ref="B5:K5" si="1">IF(AND(0&lt;(B3-B4)/B3,(B3-B4)/B3&lt;$N$4),B4,B3*(1-$N$5))</f>
        <v>561000</v>
      </c>
      <c r="C5" s="63">
        <f t="shared" si="1"/>
        <v>566000</v>
      </c>
      <c r="D5" s="63">
        <f t="shared" si="1"/>
        <v>571000</v>
      </c>
      <c r="E5" s="63">
        <f t="shared" si="1"/>
        <v>575000</v>
      </c>
      <c r="F5" s="63">
        <f t="shared" si="1"/>
        <v>578000</v>
      </c>
      <c r="G5" s="63">
        <f t="shared" si="1"/>
        <v>581000</v>
      </c>
      <c r="H5" s="63">
        <f t="shared" si="1"/>
        <v>582168.33796328492</v>
      </c>
      <c r="I5" s="63">
        <f t="shared" si="1"/>
        <v>586366.73655178817</v>
      </c>
      <c r="J5" s="63">
        <f t="shared" si="1"/>
        <v>590595.41255243926</v>
      </c>
      <c r="K5" s="63">
        <f t="shared" si="1"/>
        <v>594854.58431556087</v>
      </c>
      <c r="L5" s="89" t="s">
        <v>223</v>
      </c>
      <c r="N5" s="70">
        <f>0.07</f>
        <v>7.0000000000000007E-2</v>
      </c>
      <c r="O5" s="89" t="s">
        <v>220</v>
      </c>
    </row>
    <row r="6" spans="1:18" s="60" customFormat="1" x14ac:dyDescent="0.25">
      <c r="A6" s="105" t="s">
        <v>171</v>
      </c>
      <c r="B6" s="63">
        <v>0</v>
      </c>
      <c r="C6" s="63">
        <v>0</v>
      </c>
      <c r="D6" s="63">
        <v>0</v>
      </c>
      <c r="E6" s="63">
        <v>0</v>
      </c>
      <c r="F6" s="63">
        <v>0</v>
      </c>
      <c r="G6" s="63">
        <v>0</v>
      </c>
      <c r="H6" s="63">
        <v>0</v>
      </c>
      <c r="I6" s="63">
        <v>0</v>
      </c>
      <c r="J6" s="63">
        <v>0</v>
      </c>
      <c r="K6" s="63">
        <v>0</v>
      </c>
      <c r="L6" s="150" t="s">
        <v>262</v>
      </c>
      <c r="N6" s="65">
        <v>0.05</v>
      </c>
      <c r="O6" s="89" t="s">
        <v>204</v>
      </c>
    </row>
    <row r="7" spans="1:18" s="60" customFormat="1" x14ac:dyDescent="0.25">
      <c r="A7" s="105" t="s">
        <v>172</v>
      </c>
      <c r="B7" s="63">
        <v>0</v>
      </c>
      <c r="C7" s="63">
        <v>0</v>
      </c>
      <c r="D7" s="63">
        <v>0</v>
      </c>
      <c r="E7" s="63">
        <v>0</v>
      </c>
      <c r="F7" s="63">
        <v>0</v>
      </c>
      <c r="G7" s="63">
        <v>0</v>
      </c>
      <c r="H7" s="63">
        <v>0</v>
      </c>
      <c r="I7" s="63">
        <v>0</v>
      </c>
      <c r="J7" s="63">
        <v>0</v>
      </c>
      <c r="K7" s="63">
        <v>0</v>
      </c>
      <c r="L7" s="151"/>
      <c r="N7" s="86">
        <v>0.85099999999999998</v>
      </c>
      <c r="O7" s="89" t="s">
        <v>168</v>
      </c>
    </row>
    <row r="8" spans="1:18" s="60" customFormat="1" x14ac:dyDescent="0.25">
      <c r="A8" s="105" t="s">
        <v>173</v>
      </c>
      <c r="B8" s="67">
        <v>0</v>
      </c>
      <c r="C8" s="67">
        <v>0</v>
      </c>
      <c r="D8" s="67">
        <v>0</v>
      </c>
      <c r="E8" s="67">
        <v>0</v>
      </c>
      <c r="F8" s="67">
        <v>0</v>
      </c>
      <c r="G8" s="67">
        <v>0</v>
      </c>
      <c r="H8" s="67">
        <v>0</v>
      </c>
      <c r="I8" s="67">
        <v>0</v>
      </c>
      <c r="J8" s="67">
        <v>0</v>
      </c>
      <c r="K8" s="67">
        <v>0</v>
      </c>
      <c r="L8" s="152"/>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7.2116573759255509E-3</v>
      </c>
      <c r="O9" s="89" t="s">
        <v>224</v>
      </c>
    </row>
    <row r="10" spans="1:18" s="60" customFormat="1" ht="15.6" x14ac:dyDescent="0.3">
      <c r="A10" s="105" t="s">
        <v>174</v>
      </c>
      <c r="B10" s="63">
        <f>B5*B9</f>
        <v>190740</v>
      </c>
      <c r="C10" s="63">
        <f t="shared" ref="C10:K10" si="2">C5*C9</f>
        <v>203760</v>
      </c>
      <c r="D10" s="63">
        <f t="shared" si="2"/>
        <v>211270</v>
      </c>
      <c r="E10" s="63">
        <f t="shared" si="2"/>
        <v>224250</v>
      </c>
      <c r="F10" s="63">
        <f t="shared" si="2"/>
        <v>236980</v>
      </c>
      <c r="G10" s="63">
        <f t="shared" si="2"/>
        <v>244020</v>
      </c>
      <c r="H10" s="63">
        <f t="shared" si="2"/>
        <v>256154.06870384538</v>
      </c>
      <c r="I10" s="63">
        <f t="shared" si="2"/>
        <v>269728.69881382259</v>
      </c>
      <c r="J10" s="63">
        <f t="shared" si="2"/>
        <v>283485.79802517081</v>
      </c>
      <c r="K10" s="63">
        <f t="shared" si="2"/>
        <v>297427.29215778044</v>
      </c>
      <c r="L10" s="89" t="s">
        <v>207</v>
      </c>
      <c r="N10" s="68"/>
      <c r="O10" s="62"/>
    </row>
    <row r="11" spans="1:18" s="60" customFormat="1" ht="28.9" x14ac:dyDescent="0.3">
      <c r="A11" s="105" t="s">
        <v>175</v>
      </c>
      <c r="B11" s="63">
        <f t="shared" ref="B11:K11" si="3">MAX(B3-SUM(B6:B8,B10), B3*$N$6)</f>
        <v>412485.80645161297</v>
      </c>
      <c r="C11" s="63">
        <f t="shared" si="3"/>
        <v>404842.1505376345</v>
      </c>
      <c r="D11" s="63">
        <f t="shared" si="3"/>
        <v>402708.49462365592</v>
      </c>
      <c r="E11" s="63">
        <f t="shared" si="3"/>
        <v>394029.56989247317</v>
      </c>
      <c r="F11" s="63">
        <f t="shared" si="3"/>
        <v>384525.37634408602</v>
      </c>
      <c r="G11" s="63">
        <f t="shared" si="3"/>
        <v>380711.18279569899</v>
      </c>
      <c r="H11" s="63">
        <f t="shared" si="3"/>
        <v>369833.39147172985</v>
      </c>
      <c r="I11" s="63">
        <f t="shared" si="3"/>
        <v>360773.16844616469</v>
      </c>
      <c r="J11" s="63">
        <f t="shared" si="3"/>
        <v>351563.03267637687</v>
      </c>
      <c r="K11" s="63">
        <f t="shared" si="3"/>
        <v>342201.29312776896</v>
      </c>
      <c r="L11" s="89" t="s">
        <v>208</v>
      </c>
      <c r="N11" s="68"/>
      <c r="O11" s="62"/>
    </row>
    <row r="12" spans="1:18" s="60" customFormat="1" ht="43.9" x14ac:dyDescent="0.35">
      <c r="A12" s="105" t="s">
        <v>197</v>
      </c>
      <c r="B12" s="63">
        <f t="shared" ref="B12:K12" si="4">B6*$N$3+B11*$N$2</f>
        <v>179596.32012903228</v>
      </c>
      <c r="C12" s="63">
        <f t="shared" si="4"/>
        <v>176268.27234408606</v>
      </c>
      <c r="D12" s="63">
        <f t="shared" si="4"/>
        <v>175339.27855913978</v>
      </c>
      <c r="E12" s="63">
        <f t="shared" si="4"/>
        <v>171560.47473118283</v>
      </c>
      <c r="F12" s="63">
        <f t="shared" si="4"/>
        <v>167422.34886021505</v>
      </c>
      <c r="G12" s="63">
        <f t="shared" si="4"/>
        <v>165761.64898924733</v>
      </c>
      <c r="H12" s="63">
        <f t="shared" si="4"/>
        <v>161025.45864679117</v>
      </c>
      <c r="I12" s="63">
        <f t="shared" si="4"/>
        <v>157080.63754146011</v>
      </c>
      <c r="J12" s="63">
        <f t="shared" si="4"/>
        <v>153070.54442729449</v>
      </c>
      <c r="K12" s="63">
        <f t="shared" si="4"/>
        <v>148994.44302783062</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5">$K$13*B14</f>
        <v>0</v>
      </c>
      <c r="C15" s="88">
        <f t="shared" si="5"/>
        <v>0</v>
      </c>
      <c r="D15" s="88">
        <f t="shared" si="5"/>
        <v>0</v>
      </c>
      <c r="E15" s="88">
        <f t="shared" si="5"/>
        <v>0</v>
      </c>
      <c r="F15" s="88">
        <f t="shared" si="5"/>
        <v>0</v>
      </c>
      <c r="G15" s="88">
        <f t="shared" si="5"/>
        <v>0</v>
      </c>
      <c r="H15" s="88">
        <f t="shared" si="5"/>
        <v>0</v>
      </c>
      <c r="I15" s="88">
        <f t="shared" si="5"/>
        <v>0</v>
      </c>
      <c r="J15" s="88">
        <f t="shared" si="5"/>
        <v>0</v>
      </c>
      <c r="K15" s="88">
        <f t="shared" si="5"/>
        <v>0</v>
      </c>
      <c r="L15" s="108" t="s">
        <v>211</v>
      </c>
    </row>
    <row r="16" spans="1:18" s="60" customFormat="1" ht="30" x14ac:dyDescent="0.35">
      <c r="A16" s="105" t="s">
        <v>199</v>
      </c>
      <c r="B16" s="82">
        <f t="shared" ref="B16:K16" si="6">B12/B3</f>
        <v>0.29772651999999999</v>
      </c>
      <c r="C16" s="82">
        <f t="shared" si="6"/>
        <v>0.28962808000000001</v>
      </c>
      <c r="D16" s="82">
        <f t="shared" si="6"/>
        <v>0.28557885999999999</v>
      </c>
      <c r="E16" s="82">
        <f t="shared" si="6"/>
        <v>0.27748042000000001</v>
      </c>
      <c r="F16" s="82">
        <f t="shared" si="6"/>
        <v>0.26938197999999997</v>
      </c>
      <c r="G16" s="82">
        <f t="shared" si="6"/>
        <v>0.26533276</v>
      </c>
      <c r="H16" s="82">
        <f t="shared" si="6"/>
        <v>0.25723432000000002</v>
      </c>
      <c r="I16" s="82">
        <f t="shared" si="6"/>
        <v>0.24913587999999998</v>
      </c>
      <c r="J16" s="82">
        <f t="shared" si="6"/>
        <v>0.24103744000000005</v>
      </c>
      <c r="K16" s="82">
        <f t="shared" si="6"/>
        <v>0.23293900000000006</v>
      </c>
      <c r="L16" s="89" t="s">
        <v>212</v>
      </c>
    </row>
    <row r="17" spans="1:18" s="60" customFormat="1" ht="30.6" thickBot="1" x14ac:dyDescent="0.4">
      <c r="A17" s="105" t="s">
        <v>200</v>
      </c>
      <c r="B17" s="81">
        <f>B15*B16</f>
        <v>0</v>
      </c>
      <c r="C17" s="81">
        <f t="shared" ref="C17:K17" si="7">C15*C16</f>
        <v>0</v>
      </c>
      <c r="D17" s="81">
        <f t="shared" si="7"/>
        <v>0</v>
      </c>
      <c r="E17" s="81">
        <f t="shared" si="7"/>
        <v>0</v>
      </c>
      <c r="F17" s="81">
        <f t="shared" si="7"/>
        <v>0</v>
      </c>
      <c r="G17" s="81">
        <f t="shared" si="7"/>
        <v>0</v>
      </c>
      <c r="H17" s="81">
        <f t="shared" si="7"/>
        <v>0</v>
      </c>
      <c r="I17" s="81">
        <f t="shared" si="7"/>
        <v>0</v>
      </c>
      <c r="J17" s="81">
        <f t="shared" si="7"/>
        <v>0</v>
      </c>
      <c r="K17" s="81">
        <f t="shared" si="7"/>
        <v>0</v>
      </c>
      <c r="L17" s="89" t="s">
        <v>213</v>
      </c>
    </row>
    <row r="18" spans="1:18" ht="43.9" thickBot="1" x14ac:dyDescent="0.35">
      <c r="A18" s="128" t="s">
        <v>201</v>
      </c>
      <c r="B18" s="84">
        <f t="shared" ref="B18:K18" si="8">B12*(B14/$N$7)-B17</f>
        <v>172420.90898404157</v>
      </c>
      <c r="C18" s="84">
        <f t="shared" si="8"/>
        <v>162183.38101694404</v>
      </c>
      <c r="D18" s="84">
        <f t="shared" si="8"/>
        <v>154323.28982467181</v>
      </c>
      <c r="E18" s="84">
        <f t="shared" si="8"/>
        <v>144143.05456262716</v>
      </c>
      <c r="F18" s="84">
        <f t="shared" si="8"/>
        <v>133977.22629119444</v>
      </c>
      <c r="G18" s="84">
        <f t="shared" si="8"/>
        <v>126025.60152296477</v>
      </c>
      <c r="H18" s="84">
        <f t="shared" si="8"/>
        <v>116180.53068052852</v>
      </c>
      <c r="I18" s="84">
        <f t="shared" si="8"/>
        <v>107058.48387079537</v>
      </c>
      <c r="J18" s="84">
        <f t="shared" si="8"/>
        <v>98209.773510344065</v>
      </c>
      <c r="K18" s="84">
        <f t="shared" si="8"/>
        <v>89466.698457369508</v>
      </c>
      <c r="L18" s="93" t="s">
        <v>214</v>
      </c>
      <c r="N18" s="60"/>
      <c r="O18" s="60"/>
      <c r="P18" s="60"/>
      <c r="Q18" s="60"/>
      <c r="R18" s="60"/>
    </row>
  </sheetData>
  <mergeCells count="4">
    <mergeCell ref="B1:L1"/>
    <mergeCell ref="N1:O1"/>
    <mergeCell ref="B13:J13"/>
    <mergeCell ref="L6:L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heetViews>
  <sheetFormatPr defaultRowHeight="15" x14ac:dyDescent="0.25"/>
  <cols>
    <col min="1" max="1" width="32" customWidth="1"/>
    <col min="2" max="11" width="11.5703125" bestFit="1" customWidth="1"/>
    <col min="12" max="12" width="49.28515625" customWidth="1"/>
    <col min="14" max="14" width="8.7109375" customWidth="1"/>
    <col min="15" max="15" width="42.140625" customWidth="1"/>
  </cols>
  <sheetData>
    <row r="1" spans="1:16" s="60" customFormat="1" ht="28.9" x14ac:dyDescent="0.3">
      <c r="A1" s="103" t="s">
        <v>187</v>
      </c>
      <c r="B1" s="141" t="s">
        <v>176</v>
      </c>
      <c r="C1" s="142"/>
      <c r="D1" s="142"/>
      <c r="E1" s="142"/>
      <c r="F1" s="142"/>
      <c r="G1" s="142"/>
      <c r="H1" s="142"/>
      <c r="I1" s="142"/>
      <c r="J1" s="142"/>
      <c r="K1" s="142"/>
      <c r="L1" s="143"/>
      <c r="N1" s="144" t="s">
        <v>196</v>
      </c>
      <c r="O1" s="145"/>
      <c r="P1" s="62"/>
    </row>
    <row r="2" spans="1:16"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6" s="60" customFormat="1" ht="58.15" x14ac:dyDescent="0.35">
      <c r="A3" s="105" t="s">
        <v>169</v>
      </c>
      <c r="B3" s="63">
        <f>SUMIFS('Form 1.5a'!J:J, 'Form 1.5a'!$B:$B, "LADWP")*1000</f>
        <v>27023000</v>
      </c>
      <c r="C3" s="63">
        <f>SUMIFS('Form 1.5a'!K:K, 'Form 1.5a'!$B:$B, "LADWP")*1000</f>
        <v>27270000</v>
      </c>
      <c r="D3" s="63">
        <f>SUMIFS('Form 1.5a'!L:L, 'Form 1.5a'!$B:$B, "LADWP")*1000</f>
        <v>27491000</v>
      </c>
      <c r="E3" s="63">
        <f>SUMIFS('Form 1.5a'!M:M, 'Form 1.5a'!$B:$B, "LADWP")*1000</f>
        <v>27739000</v>
      </c>
      <c r="F3" s="63">
        <f>SUMIFS('Form 1.5a'!N:N, 'Form 1.5a'!$B:$B, "LADWP")*1000</f>
        <v>27982000</v>
      </c>
      <c r="G3" s="63">
        <f>SUMIFS('Form 1.5a'!O:O, 'Form 1.5a'!$B:$B, "LADWP")*1000</f>
        <v>28237000</v>
      </c>
      <c r="H3" s="67">
        <f>AVERAGE(E3:G3)*(1+$N$9)</f>
        <v>28123779.148357198</v>
      </c>
      <c r="I3" s="67">
        <f t="shared" ref="I3:K4" si="0">H3*(1+$N$9)</f>
        <v>28262236.60350072</v>
      </c>
      <c r="J3" s="67">
        <f t="shared" si="0"/>
        <v>28401375.70483353</v>
      </c>
      <c r="K3" s="67">
        <f t="shared" si="0"/>
        <v>28541199.808198955</v>
      </c>
      <c r="L3" s="89" t="s">
        <v>218</v>
      </c>
      <c r="N3" s="64">
        <v>0.91839999999999999</v>
      </c>
      <c r="O3" s="9" t="s">
        <v>203</v>
      </c>
    </row>
    <row r="4" spans="1:16" s="60" customFormat="1" ht="57.6" x14ac:dyDescent="0.3">
      <c r="A4" s="105" t="s">
        <v>170</v>
      </c>
      <c r="B4" s="63">
        <f>SUMIFS('Form 1.1c'!J:J, 'Form 1.1c'!$A:$A, "LADWP")*1000</f>
        <v>23827000</v>
      </c>
      <c r="C4" s="63">
        <f>SUMIFS('Form 1.1c'!K:K, 'Form 1.1c'!$A:$A, "LADWP")*1000</f>
        <v>24048000</v>
      </c>
      <c r="D4" s="63">
        <f>SUMIFS('Form 1.1c'!L:L, 'Form 1.1c'!$A:$A, "LADWP")*1000</f>
        <v>24246000</v>
      </c>
      <c r="E4" s="63">
        <f>SUMIFS('Form 1.1c'!M:M, 'Form 1.1c'!$A:$A, "LADWP")*1000</f>
        <v>24468000</v>
      </c>
      <c r="F4" s="63">
        <f>SUMIFS('Form 1.1c'!N:N, 'Form 1.1c'!$A:$A, "LADWP")*1000</f>
        <v>24685000</v>
      </c>
      <c r="G4" s="63">
        <f>SUMIFS('Form 1.1c'!O:O, 'Form 1.1c'!$A:$A, "LADWP")*1000</f>
        <v>24914000</v>
      </c>
      <c r="H4" s="67">
        <f>AVERAGE(E4:G4)*(1+$N$9)</f>
        <v>24810547.537832879</v>
      </c>
      <c r="I4" s="63">
        <f t="shared" si="0"/>
        <v>24932693.471872699</v>
      </c>
      <c r="J4" s="63">
        <f t="shared" si="0"/>
        <v>25055440.748111021</v>
      </c>
      <c r="K4" s="63">
        <f t="shared" si="0"/>
        <v>25178792.327042952</v>
      </c>
      <c r="L4" s="89" t="s">
        <v>222</v>
      </c>
      <c r="N4" s="70">
        <f>0.15</f>
        <v>0.15</v>
      </c>
      <c r="O4" s="89" t="s">
        <v>166</v>
      </c>
    </row>
    <row r="5" spans="1:16" s="60" customFormat="1" ht="28.9" x14ac:dyDescent="0.3">
      <c r="A5" s="105" t="s">
        <v>194</v>
      </c>
      <c r="B5" s="63">
        <f t="shared" ref="B5:K5" si="1">IF(AND(0&lt;(B3-B4)/B3,(B3-B4)/B3&lt;$N$4),B4,B3*(1-$N$5))</f>
        <v>23827000</v>
      </c>
      <c r="C5" s="63">
        <f t="shared" si="1"/>
        <v>24048000</v>
      </c>
      <c r="D5" s="63">
        <f t="shared" si="1"/>
        <v>24246000</v>
      </c>
      <c r="E5" s="63">
        <f t="shared" si="1"/>
        <v>24468000</v>
      </c>
      <c r="F5" s="63">
        <f t="shared" si="1"/>
        <v>24685000</v>
      </c>
      <c r="G5" s="63">
        <f t="shared" si="1"/>
        <v>24914000</v>
      </c>
      <c r="H5" s="63">
        <f t="shared" si="1"/>
        <v>24810547.537832879</v>
      </c>
      <c r="I5" s="63">
        <f t="shared" si="1"/>
        <v>24932693.471872699</v>
      </c>
      <c r="J5" s="63">
        <f t="shared" si="1"/>
        <v>25055440.748111021</v>
      </c>
      <c r="K5" s="63">
        <f t="shared" si="1"/>
        <v>25178792.327042952</v>
      </c>
      <c r="L5" s="89" t="s">
        <v>223</v>
      </c>
      <c r="N5" s="70">
        <f>0.07</f>
        <v>7.0000000000000007E-2</v>
      </c>
      <c r="O5" s="89" t="s">
        <v>220</v>
      </c>
    </row>
    <row r="6" spans="1:16" s="60" customFormat="1" ht="43.15" x14ac:dyDescent="0.3">
      <c r="A6" s="105" t="s">
        <v>171</v>
      </c>
      <c r="B6" s="63">
        <v>8118643</v>
      </c>
      <c r="C6" s="63">
        <v>7825882.0000000009</v>
      </c>
      <c r="D6" s="63">
        <v>7353868</v>
      </c>
      <c r="E6" s="63">
        <v>6895327.0000000009</v>
      </c>
      <c r="F6" s="63">
        <f>AVERAGE(C6:E6)</f>
        <v>7358359</v>
      </c>
      <c r="G6" s="63">
        <f>F6</f>
        <v>7358359</v>
      </c>
      <c r="H6" s="63">
        <f>G6/2</f>
        <v>3679179.5</v>
      </c>
      <c r="I6" s="63">
        <v>0</v>
      </c>
      <c r="J6" s="63">
        <v>0</v>
      </c>
      <c r="K6" s="63">
        <v>0</v>
      </c>
      <c r="L6" s="110" t="s">
        <v>255</v>
      </c>
      <c r="N6" s="65">
        <v>0.05</v>
      </c>
      <c r="O6" s="89" t="s">
        <v>204</v>
      </c>
    </row>
    <row r="7" spans="1:16" s="60" customFormat="1" ht="43.15" x14ac:dyDescent="0.3">
      <c r="A7" s="105" t="s">
        <v>172</v>
      </c>
      <c r="B7" s="63">
        <v>3059674</v>
      </c>
      <c r="C7" s="63">
        <v>3060862</v>
      </c>
      <c r="D7" s="63">
        <v>3059803</v>
      </c>
      <c r="E7" s="63">
        <v>3069115</v>
      </c>
      <c r="F7" s="63">
        <f>AVERAGE(C7:E7)</f>
        <v>3063260</v>
      </c>
      <c r="G7" s="63">
        <f>F7</f>
        <v>3063260</v>
      </c>
      <c r="H7" s="63">
        <f t="shared" ref="H7:K8" si="2">G7</f>
        <v>3063260</v>
      </c>
      <c r="I7" s="63">
        <f t="shared" si="2"/>
        <v>3063260</v>
      </c>
      <c r="J7" s="63">
        <f t="shared" si="2"/>
        <v>3063260</v>
      </c>
      <c r="K7" s="63">
        <f t="shared" si="2"/>
        <v>3063260</v>
      </c>
      <c r="L7" s="89" t="s">
        <v>256</v>
      </c>
      <c r="N7" s="86">
        <v>0.85099999999999998</v>
      </c>
      <c r="O7" s="89" t="s">
        <v>168</v>
      </c>
    </row>
    <row r="8" spans="1:16" s="60" customFormat="1" ht="28.9" x14ac:dyDescent="0.3">
      <c r="A8" s="105" t="s">
        <v>173</v>
      </c>
      <c r="B8" s="63">
        <v>1227002</v>
      </c>
      <c r="C8" s="63">
        <v>1227000.9999999998</v>
      </c>
      <c r="D8" s="63">
        <v>1227002</v>
      </c>
      <c r="E8" s="63">
        <v>1227000</v>
      </c>
      <c r="F8" s="63">
        <f>AVERAGE(C8:E8)</f>
        <v>1227001</v>
      </c>
      <c r="G8" s="63">
        <f>F8</f>
        <v>1227001</v>
      </c>
      <c r="H8" s="63">
        <f t="shared" si="2"/>
        <v>1227001</v>
      </c>
      <c r="I8" s="63">
        <f t="shared" si="2"/>
        <v>1227001</v>
      </c>
      <c r="J8" s="63">
        <f t="shared" si="2"/>
        <v>1227001</v>
      </c>
      <c r="K8" s="63">
        <f t="shared" si="2"/>
        <v>1227001</v>
      </c>
      <c r="L8" s="89" t="s">
        <v>251</v>
      </c>
      <c r="O8" s="107"/>
    </row>
    <row r="9" spans="1:16" s="60" customFormat="1" ht="28.9" x14ac:dyDescent="0.3">
      <c r="A9" s="105" t="s">
        <v>153</v>
      </c>
      <c r="B9" s="73">
        <v>0.34</v>
      </c>
      <c r="C9" s="59">
        <v>0.36</v>
      </c>
      <c r="D9" s="59">
        <v>0.37</v>
      </c>
      <c r="E9" s="59">
        <v>0.39</v>
      </c>
      <c r="F9" s="59">
        <v>0.41</v>
      </c>
      <c r="G9" s="59">
        <v>0.42</v>
      </c>
      <c r="H9" s="59">
        <v>0.44</v>
      </c>
      <c r="I9" s="59">
        <v>0.46</v>
      </c>
      <c r="J9" s="59">
        <v>0.48</v>
      </c>
      <c r="K9" s="59">
        <v>0.5</v>
      </c>
      <c r="L9" s="89" t="s">
        <v>248</v>
      </c>
      <c r="N9" s="66">
        <v>4.9231454426212906E-3</v>
      </c>
      <c r="O9" s="89" t="s">
        <v>206</v>
      </c>
    </row>
    <row r="10" spans="1:16" s="60" customFormat="1" ht="15.6" x14ac:dyDescent="0.3">
      <c r="A10" s="105" t="s">
        <v>174</v>
      </c>
      <c r="B10" s="63">
        <f>B5*B9</f>
        <v>8101180.0000000009</v>
      </c>
      <c r="C10" s="63">
        <f t="shared" ref="C10:K10" si="3">C5*C9</f>
        <v>8657280</v>
      </c>
      <c r="D10" s="63">
        <f t="shared" si="3"/>
        <v>8971020</v>
      </c>
      <c r="E10" s="63">
        <f t="shared" si="3"/>
        <v>9542520</v>
      </c>
      <c r="F10" s="63">
        <f t="shared" si="3"/>
        <v>10120850</v>
      </c>
      <c r="G10" s="63">
        <f t="shared" si="3"/>
        <v>10463880</v>
      </c>
      <c r="H10" s="63">
        <f t="shared" si="3"/>
        <v>10916640.916646468</v>
      </c>
      <c r="I10" s="63">
        <f t="shared" si="3"/>
        <v>11469038.997061443</v>
      </c>
      <c r="J10" s="63">
        <f t="shared" si="3"/>
        <v>12026611.559093289</v>
      </c>
      <c r="K10" s="63">
        <f t="shared" si="3"/>
        <v>12589396.163521476</v>
      </c>
      <c r="L10" s="89" t="s">
        <v>207</v>
      </c>
      <c r="N10" s="68"/>
      <c r="O10" s="62"/>
    </row>
    <row r="11" spans="1:16" s="60" customFormat="1" ht="28.9" x14ac:dyDescent="0.3">
      <c r="A11" s="105" t="s">
        <v>175</v>
      </c>
      <c r="B11" s="63">
        <f t="shared" ref="B11:K11" si="4">MAX(B3-SUM(B6:B8,B10), B3*$N$6)</f>
        <v>6516501</v>
      </c>
      <c r="C11" s="63">
        <f t="shared" si="4"/>
        <v>6498975</v>
      </c>
      <c r="D11" s="63">
        <f t="shared" si="4"/>
        <v>6879307</v>
      </c>
      <c r="E11" s="63">
        <f t="shared" si="4"/>
        <v>7005038</v>
      </c>
      <c r="F11" s="63">
        <f t="shared" si="4"/>
        <v>6212530</v>
      </c>
      <c r="G11" s="63">
        <f t="shared" si="4"/>
        <v>6124500</v>
      </c>
      <c r="H11" s="63">
        <f t="shared" si="4"/>
        <v>9237697.731710732</v>
      </c>
      <c r="I11" s="63">
        <f t="shared" si="4"/>
        <v>12502936.606439278</v>
      </c>
      <c r="J11" s="63">
        <f t="shared" si="4"/>
        <v>12084503.145740241</v>
      </c>
      <c r="K11" s="63">
        <f t="shared" si="4"/>
        <v>11661542.644677479</v>
      </c>
      <c r="L11" s="89" t="s">
        <v>208</v>
      </c>
      <c r="N11" s="68"/>
      <c r="O11" s="62"/>
    </row>
    <row r="12" spans="1:16" s="60" customFormat="1" ht="43.9" x14ac:dyDescent="0.35">
      <c r="A12" s="105" t="s">
        <v>197</v>
      </c>
      <c r="B12" s="63">
        <f t="shared" ref="B12:K12" si="5">B6*$N$3+B11*$N$2</f>
        <v>10293446.2666</v>
      </c>
      <c r="C12" s="63">
        <f t="shared" si="5"/>
        <v>10016943.743799999</v>
      </c>
      <c r="D12" s="63">
        <f t="shared" si="5"/>
        <v>9749042.6390000004</v>
      </c>
      <c r="E12" s="63">
        <f t="shared" si="5"/>
        <v>9382661.8620000016</v>
      </c>
      <c r="F12" s="63">
        <f t="shared" si="5"/>
        <v>9462852.4675999992</v>
      </c>
      <c r="G12" s="63">
        <f t="shared" si="5"/>
        <v>9424524.2056000009</v>
      </c>
      <c r="H12" s="63">
        <f t="shared" si="5"/>
        <v>7401052.045186853</v>
      </c>
      <c r="I12" s="63">
        <f t="shared" si="5"/>
        <v>5443778.5984436618</v>
      </c>
      <c r="J12" s="63">
        <f t="shared" si="5"/>
        <v>5261592.6696553007</v>
      </c>
      <c r="K12" s="63">
        <f t="shared" si="5"/>
        <v>5077435.6674925741</v>
      </c>
      <c r="L12" s="108" t="s">
        <v>209</v>
      </c>
    </row>
    <row r="13" spans="1:16" s="60" customFormat="1" ht="86.45" x14ac:dyDescent="0.3">
      <c r="A13" s="105"/>
      <c r="B13" s="146" t="s">
        <v>210</v>
      </c>
      <c r="C13" s="147"/>
      <c r="D13" s="147"/>
      <c r="E13" s="147"/>
      <c r="F13" s="147"/>
      <c r="G13" s="147"/>
      <c r="H13" s="147"/>
      <c r="I13" s="147"/>
      <c r="J13" s="148"/>
      <c r="K13" s="87">
        <v>703922.46420766076</v>
      </c>
      <c r="L13" s="108" t="s">
        <v>216</v>
      </c>
    </row>
    <row r="14" spans="1:16"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row>
    <row r="15" spans="1:16" s="60" customFormat="1" ht="28.9" x14ac:dyDescent="0.3">
      <c r="A15" s="105" t="s">
        <v>198</v>
      </c>
      <c r="B15" s="88">
        <f t="shared" ref="B15:K15" si="6">$K$13*B14</f>
        <v>575104.65325765882</v>
      </c>
      <c r="C15" s="88">
        <f t="shared" si="6"/>
        <v>551171.28947459836</v>
      </c>
      <c r="D15" s="88">
        <f t="shared" si="6"/>
        <v>527237.92569153791</v>
      </c>
      <c r="E15" s="88">
        <f t="shared" si="6"/>
        <v>503304.56190847739</v>
      </c>
      <c r="F15" s="88">
        <f t="shared" si="6"/>
        <v>479371.198125417</v>
      </c>
      <c r="G15" s="88">
        <f t="shared" si="6"/>
        <v>455437.83434235654</v>
      </c>
      <c r="H15" s="88">
        <f t="shared" si="6"/>
        <v>432208.39302350371</v>
      </c>
      <c r="I15" s="88">
        <f t="shared" si="6"/>
        <v>408275.0292404432</v>
      </c>
      <c r="J15" s="88">
        <f t="shared" si="6"/>
        <v>384341.6654573828</v>
      </c>
      <c r="K15" s="88">
        <f t="shared" si="6"/>
        <v>359704.37921011465</v>
      </c>
      <c r="L15" s="108" t="s">
        <v>211</v>
      </c>
    </row>
    <row r="16" spans="1:16" s="60" customFormat="1" ht="30" x14ac:dyDescent="0.35">
      <c r="A16" s="105" t="s">
        <v>199</v>
      </c>
      <c r="B16" s="82">
        <f>B12/B3</f>
        <v>0.38091426809014545</v>
      </c>
      <c r="C16" s="82">
        <f t="shared" ref="C16:K16" si="7">C12/C3</f>
        <v>0.36732466973964062</v>
      </c>
      <c r="D16" s="82">
        <f t="shared" si="7"/>
        <v>0.35462670106580335</v>
      </c>
      <c r="E16" s="82">
        <f t="shared" si="7"/>
        <v>0.33824802126969256</v>
      </c>
      <c r="F16" s="82">
        <f t="shared" si="7"/>
        <v>0.33817641582445856</v>
      </c>
      <c r="G16" s="82">
        <f t="shared" si="7"/>
        <v>0.33376506730885014</v>
      </c>
      <c r="H16" s="82">
        <f t="shared" si="7"/>
        <v>0.26315994042426455</v>
      </c>
      <c r="I16" s="82">
        <f t="shared" si="7"/>
        <v>0.19261669466631542</v>
      </c>
      <c r="J16" s="82">
        <f t="shared" si="7"/>
        <v>0.18525837354983649</v>
      </c>
      <c r="K16" s="82">
        <f t="shared" si="7"/>
        <v>0.1778984661336484</v>
      </c>
      <c r="L16" s="89" t="s">
        <v>212</v>
      </c>
    </row>
    <row r="17" spans="1:12" s="60" customFormat="1" ht="30.6" thickBot="1" x14ac:dyDescent="0.4">
      <c r="A17" s="105" t="s">
        <v>200</v>
      </c>
      <c r="B17" s="81">
        <f>B15*B16</f>
        <v>219065.56807087798</v>
      </c>
      <c r="C17" s="81">
        <f t="shared" ref="C17:K17" si="8">C15*C16</f>
        <v>202458.81187622869</v>
      </c>
      <c r="D17" s="81">
        <f t="shared" si="8"/>
        <v>186972.64626476725</v>
      </c>
      <c r="E17" s="81">
        <f t="shared" si="8"/>
        <v>170241.77216155195</v>
      </c>
      <c r="F17" s="81">
        <f t="shared" si="8"/>
        <v>162112.03363152992</v>
      </c>
      <c r="G17" s="81">
        <f t="shared" si="8"/>
        <v>152009.23943427356</v>
      </c>
      <c r="H17" s="81">
        <f t="shared" si="8"/>
        <v>113739.93495893235</v>
      </c>
      <c r="I17" s="81">
        <f t="shared" si="8"/>
        <v>78640.586647087446</v>
      </c>
      <c r="J17" s="81">
        <f t="shared" si="8"/>
        <v>71202.511830070114</v>
      </c>
      <c r="K17" s="81">
        <f t="shared" si="8"/>
        <v>63990.857323035605</v>
      </c>
      <c r="L17" s="89" t="s">
        <v>213</v>
      </c>
    </row>
    <row r="18" spans="1:12" ht="45.75" thickBot="1" x14ac:dyDescent="0.3">
      <c r="A18" s="128" t="s">
        <v>201</v>
      </c>
      <c r="B18" s="84">
        <f t="shared" ref="B18:K18" si="9">B12*(B14/$N$7)-B17</f>
        <v>9663126.6761267725</v>
      </c>
      <c r="C18" s="84">
        <f t="shared" si="9"/>
        <v>9014071.0957564395</v>
      </c>
      <c r="D18" s="84">
        <f t="shared" si="9"/>
        <v>8393559.5941711906</v>
      </c>
      <c r="E18" s="84">
        <f t="shared" si="9"/>
        <v>7712958.2646539612</v>
      </c>
      <c r="F18" s="84">
        <f t="shared" si="9"/>
        <v>7410393.877573641</v>
      </c>
      <c r="G18" s="84">
        <f t="shared" si="9"/>
        <v>7013287.071991344</v>
      </c>
      <c r="H18" s="84">
        <f t="shared" si="9"/>
        <v>5226149.5547528509</v>
      </c>
      <c r="I18" s="84">
        <f t="shared" si="9"/>
        <v>3631572.7941958313</v>
      </c>
      <c r="J18" s="84">
        <f t="shared" si="9"/>
        <v>3304625.4524846124</v>
      </c>
      <c r="K18" s="84">
        <f t="shared" si="9"/>
        <v>2984857.1169292624</v>
      </c>
      <c r="L18" s="93" t="s">
        <v>214</v>
      </c>
    </row>
    <row r="19" spans="1:12" x14ac:dyDescent="0.25">
      <c r="A19" s="85"/>
      <c r="B19" s="85"/>
      <c r="C19" s="85"/>
      <c r="D19" s="85"/>
      <c r="E19" s="85"/>
      <c r="F19" s="85"/>
      <c r="G19" s="85"/>
      <c r="H19" s="85"/>
      <c r="I19" s="85"/>
      <c r="J19" s="85"/>
      <c r="K19" s="85"/>
    </row>
  </sheetData>
  <mergeCells count="3">
    <mergeCell ref="B1:L1"/>
    <mergeCell ref="N1:O1"/>
    <mergeCell ref="B13:J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85" zoomScaleNormal="85" workbookViewId="0"/>
  </sheetViews>
  <sheetFormatPr defaultRowHeight="15" x14ac:dyDescent="0.25"/>
  <cols>
    <col min="1" max="1" width="28.42578125" customWidth="1"/>
    <col min="2" max="2" width="62.42578125" customWidth="1"/>
    <col min="3" max="12" width="10.140625" customWidth="1"/>
    <col min="13" max="13" width="10.85546875" customWidth="1"/>
    <col min="16" max="16" width="11" customWidth="1"/>
    <col min="17" max="17" width="10.42578125" style="21" customWidth="1"/>
    <col min="18" max="254" width="8.85546875" style="21"/>
    <col min="255" max="255" width="45.85546875" style="21" customWidth="1"/>
    <col min="256" max="268" width="10.140625" style="21" customWidth="1"/>
    <col min="269" max="269" width="10.85546875" style="21" customWidth="1"/>
    <col min="270" max="510" width="8.85546875" style="21"/>
    <col min="511" max="511" width="45.85546875" style="21" customWidth="1"/>
    <col min="512" max="524" width="10.140625" style="21" customWidth="1"/>
    <col min="525" max="525" width="10.85546875" style="21" customWidth="1"/>
    <col min="526" max="766" width="8.85546875" style="21"/>
    <col min="767" max="767" width="45.85546875" style="21" customWidth="1"/>
    <col min="768" max="780" width="10.140625" style="21" customWidth="1"/>
    <col min="781" max="781" width="10.85546875" style="21" customWidth="1"/>
    <col min="782" max="1022" width="8.85546875" style="21"/>
    <col min="1023" max="1023" width="45.85546875" style="21" customWidth="1"/>
    <col min="1024" max="1036" width="10.140625" style="21" customWidth="1"/>
    <col min="1037" max="1037" width="10.85546875" style="21" customWidth="1"/>
    <col min="1038" max="1278" width="8.85546875" style="21"/>
    <col min="1279" max="1279" width="45.85546875" style="21" customWidth="1"/>
    <col min="1280" max="1292" width="10.140625" style="21" customWidth="1"/>
    <col min="1293" max="1293" width="10.85546875" style="21" customWidth="1"/>
    <col min="1294" max="1534" width="8.85546875" style="21"/>
    <col min="1535" max="1535" width="45.85546875" style="21" customWidth="1"/>
    <col min="1536" max="1548" width="10.140625" style="21" customWidth="1"/>
    <col min="1549" max="1549" width="10.85546875" style="21" customWidth="1"/>
    <col min="1550" max="1790" width="8.85546875" style="21"/>
    <col min="1791" max="1791" width="45.85546875" style="21" customWidth="1"/>
    <col min="1792" max="1804" width="10.140625" style="21" customWidth="1"/>
    <col min="1805" max="1805" width="10.85546875" style="21" customWidth="1"/>
    <col min="1806" max="2046" width="8.85546875" style="21"/>
    <col min="2047" max="2047" width="45.85546875" style="21" customWidth="1"/>
    <col min="2048" max="2060" width="10.140625" style="21" customWidth="1"/>
    <col min="2061" max="2061" width="10.85546875" style="21" customWidth="1"/>
    <col min="2062" max="2302" width="8.85546875" style="21"/>
    <col min="2303" max="2303" width="45.85546875" style="21" customWidth="1"/>
    <col min="2304" max="2316" width="10.140625" style="21" customWidth="1"/>
    <col min="2317" max="2317" width="10.85546875" style="21" customWidth="1"/>
    <col min="2318" max="2558" width="8.85546875" style="21"/>
    <col min="2559" max="2559" width="45.85546875" style="21" customWidth="1"/>
    <col min="2560" max="2572" width="10.140625" style="21" customWidth="1"/>
    <col min="2573" max="2573" width="10.85546875" style="21" customWidth="1"/>
    <col min="2574" max="2814" width="8.85546875" style="21"/>
    <col min="2815" max="2815" width="45.85546875" style="21" customWidth="1"/>
    <col min="2816" max="2828" width="10.140625" style="21" customWidth="1"/>
    <col min="2829" max="2829" width="10.85546875" style="21" customWidth="1"/>
    <col min="2830" max="3070" width="8.85546875" style="21"/>
    <col min="3071" max="3071" width="45.85546875" style="21" customWidth="1"/>
    <col min="3072" max="3084" width="10.140625" style="21" customWidth="1"/>
    <col min="3085" max="3085" width="10.85546875" style="21" customWidth="1"/>
    <col min="3086" max="3326" width="8.85546875" style="21"/>
    <col min="3327" max="3327" width="45.85546875" style="21" customWidth="1"/>
    <col min="3328" max="3340" width="10.140625" style="21" customWidth="1"/>
    <col min="3341" max="3341" width="10.85546875" style="21" customWidth="1"/>
    <col min="3342" max="3582" width="8.85546875" style="21"/>
    <col min="3583" max="3583" width="45.85546875" style="21" customWidth="1"/>
    <col min="3584" max="3596" width="10.140625" style="21" customWidth="1"/>
    <col min="3597" max="3597" width="10.85546875" style="21" customWidth="1"/>
    <col min="3598" max="3838" width="8.85546875" style="21"/>
    <col min="3839" max="3839" width="45.85546875" style="21" customWidth="1"/>
    <col min="3840" max="3852" width="10.140625" style="21" customWidth="1"/>
    <col min="3853" max="3853" width="10.85546875" style="21" customWidth="1"/>
    <col min="3854" max="4094" width="8.85546875" style="21"/>
    <col min="4095" max="4095" width="45.85546875" style="21" customWidth="1"/>
    <col min="4096" max="4108" width="10.140625" style="21" customWidth="1"/>
    <col min="4109" max="4109" width="10.85546875" style="21" customWidth="1"/>
    <col min="4110" max="4350" width="8.85546875" style="21"/>
    <col min="4351" max="4351" width="45.85546875" style="21" customWidth="1"/>
    <col min="4352" max="4364" width="10.140625" style="21" customWidth="1"/>
    <col min="4365" max="4365" width="10.85546875" style="21" customWidth="1"/>
    <col min="4366" max="4606" width="8.85546875" style="21"/>
    <col min="4607" max="4607" width="45.85546875" style="21" customWidth="1"/>
    <col min="4608" max="4620" width="10.140625" style="21" customWidth="1"/>
    <col min="4621" max="4621" width="10.85546875" style="21" customWidth="1"/>
    <col min="4622" max="4862" width="8.85546875" style="21"/>
    <col min="4863" max="4863" width="45.85546875" style="21" customWidth="1"/>
    <col min="4864" max="4876" width="10.140625" style="21" customWidth="1"/>
    <col min="4877" max="4877" width="10.85546875" style="21" customWidth="1"/>
    <col min="4878" max="5118" width="8.85546875" style="21"/>
    <col min="5119" max="5119" width="45.85546875" style="21" customWidth="1"/>
    <col min="5120" max="5132" width="10.140625" style="21" customWidth="1"/>
    <col min="5133" max="5133" width="10.85546875" style="21" customWidth="1"/>
    <col min="5134" max="5374" width="8.85546875" style="21"/>
    <col min="5375" max="5375" width="45.85546875" style="21" customWidth="1"/>
    <col min="5376" max="5388" width="10.140625" style="21" customWidth="1"/>
    <col min="5389" max="5389" width="10.85546875" style="21" customWidth="1"/>
    <col min="5390" max="5630" width="8.85546875" style="21"/>
    <col min="5631" max="5631" width="45.85546875" style="21" customWidth="1"/>
    <col min="5632" max="5644" width="10.140625" style="21" customWidth="1"/>
    <col min="5645" max="5645" width="10.85546875" style="21" customWidth="1"/>
    <col min="5646" max="5886" width="8.85546875" style="21"/>
    <col min="5887" max="5887" width="45.85546875" style="21" customWidth="1"/>
    <col min="5888" max="5900" width="10.140625" style="21" customWidth="1"/>
    <col min="5901" max="5901" width="10.85546875" style="21" customWidth="1"/>
    <col min="5902" max="6142" width="8.85546875" style="21"/>
    <col min="6143" max="6143" width="45.85546875" style="21" customWidth="1"/>
    <col min="6144" max="6156" width="10.140625" style="21" customWidth="1"/>
    <col min="6157" max="6157" width="10.85546875" style="21" customWidth="1"/>
    <col min="6158" max="6398" width="8.85546875" style="21"/>
    <col min="6399" max="6399" width="45.85546875" style="21" customWidth="1"/>
    <col min="6400" max="6412" width="10.140625" style="21" customWidth="1"/>
    <col min="6413" max="6413" width="10.85546875" style="21" customWidth="1"/>
    <col min="6414" max="6654" width="8.85546875" style="21"/>
    <col min="6655" max="6655" width="45.85546875" style="21" customWidth="1"/>
    <col min="6656" max="6668" width="10.140625" style="21" customWidth="1"/>
    <col min="6669" max="6669" width="10.85546875" style="21" customWidth="1"/>
    <col min="6670" max="6910" width="8.85546875" style="21"/>
    <col min="6911" max="6911" width="45.85546875" style="21" customWidth="1"/>
    <col min="6912" max="6924" width="10.140625" style="21" customWidth="1"/>
    <col min="6925" max="6925" width="10.85546875" style="21" customWidth="1"/>
    <col min="6926" max="7166" width="8.85546875" style="21"/>
    <col min="7167" max="7167" width="45.85546875" style="21" customWidth="1"/>
    <col min="7168" max="7180" width="10.140625" style="21" customWidth="1"/>
    <col min="7181" max="7181" width="10.85546875" style="21" customWidth="1"/>
    <col min="7182" max="7422" width="8.85546875" style="21"/>
    <col min="7423" max="7423" width="45.85546875" style="21" customWidth="1"/>
    <col min="7424" max="7436" width="10.140625" style="21" customWidth="1"/>
    <col min="7437" max="7437" width="10.85546875" style="21" customWidth="1"/>
    <col min="7438" max="7678" width="8.85546875" style="21"/>
    <col min="7679" max="7679" width="45.85546875" style="21" customWidth="1"/>
    <col min="7680" max="7692" width="10.140625" style="21" customWidth="1"/>
    <col min="7693" max="7693" width="10.85546875" style="21" customWidth="1"/>
    <col min="7694" max="7934" width="8.85546875" style="21"/>
    <col min="7935" max="7935" width="45.85546875" style="21" customWidth="1"/>
    <col min="7936" max="7948" width="10.140625" style="21" customWidth="1"/>
    <col min="7949" max="7949" width="10.85546875" style="21" customWidth="1"/>
    <col min="7950" max="8190" width="8.85546875" style="21"/>
    <col min="8191" max="8191" width="45.85546875" style="21" customWidth="1"/>
    <col min="8192" max="8204" width="10.140625" style="21" customWidth="1"/>
    <col min="8205" max="8205" width="10.85546875" style="21" customWidth="1"/>
    <col min="8206" max="8446" width="8.85546875" style="21"/>
    <col min="8447" max="8447" width="45.85546875" style="21" customWidth="1"/>
    <col min="8448" max="8460" width="10.140625" style="21" customWidth="1"/>
    <col min="8461" max="8461" width="10.85546875" style="21" customWidth="1"/>
    <col min="8462" max="8702" width="8.85546875" style="21"/>
    <col min="8703" max="8703" width="45.85546875" style="21" customWidth="1"/>
    <col min="8704" max="8716" width="10.140625" style="21" customWidth="1"/>
    <col min="8717" max="8717" width="10.85546875" style="21" customWidth="1"/>
    <col min="8718" max="8958" width="8.85546875" style="21"/>
    <col min="8959" max="8959" width="45.85546875" style="21" customWidth="1"/>
    <col min="8960" max="8972" width="10.140625" style="21" customWidth="1"/>
    <col min="8973" max="8973" width="10.85546875" style="21" customWidth="1"/>
    <col min="8974" max="9214" width="8.85546875" style="21"/>
    <col min="9215" max="9215" width="45.85546875" style="21" customWidth="1"/>
    <col min="9216" max="9228" width="10.140625" style="21" customWidth="1"/>
    <col min="9229" max="9229" width="10.85546875" style="21" customWidth="1"/>
    <col min="9230" max="9470" width="8.85546875" style="21"/>
    <col min="9471" max="9471" width="45.85546875" style="21" customWidth="1"/>
    <col min="9472" max="9484" width="10.140625" style="21" customWidth="1"/>
    <col min="9485" max="9485" width="10.85546875" style="21" customWidth="1"/>
    <col min="9486" max="9726" width="8.85546875" style="21"/>
    <col min="9727" max="9727" width="45.85546875" style="21" customWidth="1"/>
    <col min="9728" max="9740" width="10.140625" style="21" customWidth="1"/>
    <col min="9741" max="9741" width="10.85546875" style="21" customWidth="1"/>
    <col min="9742" max="9982" width="8.85546875" style="21"/>
    <col min="9983" max="9983" width="45.85546875" style="21" customWidth="1"/>
    <col min="9984" max="9996" width="10.140625" style="21" customWidth="1"/>
    <col min="9997" max="9997" width="10.85546875" style="21" customWidth="1"/>
    <col min="9998" max="10238" width="8.85546875" style="21"/>
    <col min="10239" max="10239" width="45.85546875" style="21" customWidth="1"/>
    <col min="10240" max="10252" width="10.140625" style="21" customWidth="1"/>
    <col min="10253" max="10253" width="10.85546875" style="21" customWidth="1"/>
    <col min="10254" max="10494" width="8.85546875" style="21"/>
    <col min="10495" max="10495" width="45.85546875" style="21" customWidth="1"/>
    <col min="10496" max="10508" width="10.140625" style="21" customWidth="1"/>
    <col min="10509" max="10509" width="10.85546875" style="21" customWidth="1"/>
    <col min="10510" max="10750" width="8.85546875" style="21"/>
    <col min="10751" max="10751" width="45.85546875" style="21" customWidth="1"/>
    <col min="10752" max="10764" width="10.140625" style="21" customWidth="1"/>
    <col min="10765" max="10765" width="10.85546875" style="21" customWidth="1"/>
    <col min="10766" max="11006" width="8.85546875" style="21"/>
    <col min="11007" max="11007" width="45.85546875" style="21" customWidth="1"/>
    <col min="11008" max="11020" width="10.140625" style="21" customWidth="1"/>
    <col min="11021" max="11021" width="10.85546875" style="21" customWidth="1"/>
    <col min="11022" max="11262" width="8.85546875" style="21"/>
    <col min="11263" max="11263" width="45.85546875" style="21" customWidth="1"/>
    <col min="11264" max="11276" width="10.140625" style="21" customWidth="1"/>
    <col min="11277" max="11277" width="10.85546875" style="21" customWidth="1"/>
    <col min="11278" max="11518" width="8.85546875" style="21"/>
    <col min="11519" max="11519" width="45.85546875" style="21" customWidth="1"/>
    <col min="11520" max="11532" width="10.140625" style="21" customWidth="1"/>
    <col min="11533" max="11533" width="10.85546875" style="21" customWidth="1"/>
    <col min="11534" max="11774" width="8.85546875" style="21"/>
    <col min="11775" max="11775" width="45.85546875" style="21" customWidth="1"/>
    <col min="11776" max="11788" width="10.140625" style="21" customWidth="1"/>
    <col min="11789" max="11789" width="10.85546875" style="21" customWidth="1"/>
    <col min="11790" max="12030" width="8.85546875" style="21"/>
    <col min="12031" max="12031" width="45.85546875" style="21" customWidth="1"/>
    <col min="12032" max="12044" width="10.140625" style="21" customWidth="1"/>
    <col min="12045" max="12045" width="10.85546875" style="21" customWidth="1"/>
    <col min="12046" max="12286" width="8.85546875" style="21"/>
    <col min="12287" max="12287" width="45.85546875" style="21" customWidth="1"/>
    <col min="12288" max="12300" width="10.140625" style="21" customWidth="1"/>
    <col min="12301" max="12301" width="10.85546875" style="21" customWidth="1"/>
    <col min="12302" max="12542" width="8.85546875" style="21"/>
    <col min="12543" max="12543" width="45.85546875" style="21" customWidth="1"/>
    <col min="12544" max="12556" width="10.140625" style="21" customWidth="1"/>
    <col min="12557" max="12557" width="10.85546875" style="21" customWidth="1"/>
    <col min="12558" max="12798" width="8.85546875" style="21"/>
    <col min="12799" max="12799" width="45.85546875" style="21" customWidth="1"/>
    <col min="12800" max="12812" width="10.140625" style="21" customWidth="1"/>
    <col min="12813" max="12813" width="10.85546875" style="21" customWidth="1"/>
    <col min="12814" max="13054" width="8.85546875" style="21"/>
    <col min="13055" max="13055" width="45.85546875" style="21" customWidth="1"/>
    <col min="13056" max="13068" width="10.140625" style="21" customWidth="1"/>
    <col min="13069" max="13069" width="10.85546875" style="21" customWidth="1"/>
    <col min="13070" max="13310" width="8.85546875" style="21"/>
    <col min="13311" max="13311" width="45.85546875" style="21" customWidth="1"/>
    <col min="13312" max="13324" width="10.140625" style="21" customWidth="1"/>
    <col min="13325" max="13325" width="10.85546875" style="21" customWidth="1"/>
    <col min="13326" max="13566" width="8.85546875" style="21"/>
    <col min="13567" max="13567" width="45.85546875" style="21" customWidth="1"/>
    <col min="13568" max="13580" width="10.140625" style="21" customWidth="1"/>
    <col min="13581" max="13581" width="10.85546875" style="21" customWidth="1"/>
    <col min="13582" max="13822" width="8.85546875" style="21"/>
    <col min="13823" max="13823" width="45.85546875" style="21" customWidth="1"/>
    <col min="13824" max="13836" width="10.140625" style="21" customWidth="1"/>
    <col min="13837" max="13837" width="10.85546875" style="21" customWidth="1"/>
    <col min="13838" max="14078" width="8.85546875" style="21"/>
    <col min="14079" max="14079" width="45.85546875" style="21" customWidth="1"/>
    <col min="14080" max="14092" width="10.140625" style="21" customWidth="1"/>
    <col min="14093" max="14093" width="10.85546875" style="21" customWidth="1"/>
    <col min="14094" max="14334" width="8.85546875" style="21"/>
    <col min="14335" max="14335" width="45.85546875" style="21" customWidth="1"/>
    <col min="14336" max="14348" width="10.140625" style="21" customWidth="1"/>
    <col min="14349" max="14349" width="10.85546875" style="21" customWidth="1"/>
    <col min="14350" max="14590" width="8.85546875" style="21"/>
    <col min="14591" max="14591" width="45.85546875" style="21" customWidth="1"/>
    <col min="14592" max="14604" width="10.140625" style="21" customWidth="1"/>
    <col min="14605" max="14605" width="10.85546875" style="21" customWidth="1"/>
    <col min="14606" max="14846" width="8.85546875" style="21"/>
    <col min="14847" max="14847" width="45.85546875" style="21" customWidth="1"/>
    <col min="14848" max="14860" width="10.140625" style="21" customWidth="1"/>
    <col min="14861" max="14861" width="10.85546875" style="21" customWidth="1"/>
    <col min="14862" max="15102" width="8.85546875" style="21"/>
    <col min="15103" max="15103" width="45.85546875" style="21" customWidth="1"/>
    <col min="15104" max="15116" width="10.140625" style="21" customWidth="1"/>
    <col min="15117" max="15117" width="10.85546875" style="21" customWidth="1"/>
    <col min="15118" max="15358" width="8.85546875" style="21"/>
    <col min="15359" max="15359" width="45.85546875" style="21" customWidth="1"/>
    <col min="15360" max="15372" width="10.140625" style="21" customWidth="1"/>
    <col min="15373" max="15373" width="10.85546875" style="21" customWidth="1"/>
    <col min="15374" max="15614" width="8.85546875" style="21"/>
    <col min="15615" max="15615" width="45.85546875" style="21" customWidth="1"/>
    <col min="15616" max="15628" width="10.140625" style="21" customWidth="1"/>
    <col min="15629" max="15629" width="10.85546875" style="21" customWidth="1"/>
    <col min="15630" max="15870" width="8.85546875" style="21"/>
    <col min="15871" max="15871" width="45.85546875" style="21" customWidth="1"/>
    <col min="15872" max="15884" width="10.140625" style="21" customWidth="1"/>
    <col min="15885" max="15885" width="10.85546875" style="21" customWidth="1"/>
    <col min="15886" max="16126" width="8.85546875" style="21"/>
    <col min="16127" max="16127" width="45.85546875" style="21" customWidth="1"/>
    <col min="16128" max="16140" width="10.140625" style="21" customWidth="1"/>
    <col min="16141" max="16141" width="10.85546875" style="21" customWidth="1"/>
    <col min="16142" max="16384" width="8.85546875" style="21"/>
  </cols>
  <sheetData>
    <row r="1" spans="1:18" s="13" customFormat="1" ht="15.6" x14ac:dyDescent="0.3">
      <c r="A1" s="10" t="s">
        <v>36</v>
      </c>
      <c r="B1" s="10"/>
      <c r="C1" s="11"/>
      <c r="D1" s="10"/>
      <c r="E1" s="10"/>
      <c r="F1" s="10"/>
      <c r="G1" s="10"/>
      <c r="H1" s="12"/>
      <c r="I1" s="10"/>
      <c r="J1" s="10"/>
      <c r="K1" s="10"/>
      <c r="L1" s="10"/>
      <c r="M1" s="10"/>
      <c r="N1" s="10"/>
      <c r="O1" s="10"/>
      <c r="P1" s="10"/>
    </row>
    <row r="2" spans="1:18" s="13" customFormat="1" ht="15.6" x14ac:dyDescent="0.3">
      <c r="A2" s="14" t="s">
        <v>157</v>
      </c>
      <c r="B2" s="14"/>
      <c r="C2" s="14"/>
      <c r="D2" s="14"/>
      <c r="E2" s="14"/>
      <c r="F2" s="14"/>
      <c r="G2" s="14"/>
      <c r="H2" s="12"/>
      <c r="I2" s="14"/>
      <c r="J2" s="14"/>
      <c r="K2" s="10"/>
      <c r="L2" s="10"/>
      <c r="M2" s="10"/>
      <c r="N2" s="10"/>
      <c r="O2" s="10"/>
      <c r="P2" s="10"/>
    </row>
    <row r="3" spans="1:18" s="13" customFormat="1" ht="15.6" x14ac:dyDescent="0.3">
      <c r="A3" s="15" t="s">
        <v>37</v>
      </c>
      <c r="B3" s="15"/>
      <c r="C3" s="15"/>
      <c r="D3" s="15"/>
      <c r="E3" s="15"/>
      <c r="F3" s="15"/>
      <c r="G3" s="15"/>
      <c r="H3" s="12"/>
      <c r="I3" s="10"/>
      <c r="J3" s="10"/>
      <c r="K3" s="10"/>
      <c r="L3" s="10"/>
      <c r="M3" s="10"/>
      <c r="N3" s="10"/>
      <c r="O3" s="10"/>
      <c r="P3" s="10"/>
    </row>
    <row r="4" spans="1:18" s="13" customFormat="1" ht="15.6" x14ac:dyDescent="0.25">
      <c r="B4" s="135"/>
      <c r="C4" s="135"/>
      <c r="D4" s="135"/>
      <c r="E4" s="133" t="s">
        <v>279</v>
      </c>
      <c r="F4" s="135"/>
      <c r="G4" s="135"/>
      <c r="H4" s="135"/>
      <c r="I4" s="135"/>
      <c r="J4" s="135"/>
      <c r="K4" s="135"/>
      <c r="L4" s="135"/>
      <c r="M4" s="135"/>
      <c r="N4" s="135"/>
      <c r="O4" s="135"/>
      <c r="P4" s="135"/>
      <c r="R4" s="126"/>
    </row>
    <row r="5" spans="1:18" s="17" customFormat="1" x14ac:dyDescent="0.3">
      <c r="B5" s="136"/>
      <c r="C5" s="136"/>
      <c r="D5" s="136"/>
      <c r="E5" s="137" t="s">
        <v>280</v>
      </c>
      <c r="F5" s="136"/>
      <c r="G5" s="136"/>
      <c r="H5" s="136"/>
      <c r="I5" s="136"/>
      <c r="J5" s="136"/>
      <c r="K5" s="136"/>
      <c r="L5" s="136"/>
      <c r="M5" s="136"/>
      <c r="N5" s="136"/>
      <c r="O5" s="136"/>
      <c r="P5" s="136"/>
    </row>
    <row r="6" spans="1:18" s="17" customFormat="1" x14ac:dyDescent="0.25">
      <c r="A6" s="126"/>
      <c r="B6" s="16"/>
      <c r="C6" s="16"/>
      <c r="D6" s="16"/>
      <c r="E6" s="16"/>
      <c r="F6" s="16"/>
      <c r="G6" s="12"/>
      <c r="H6" s="16"/>
      <c r="I6" s="16"/>
      <c r="J6" s="16"/>
      <c r="K6" s="16"/>
      <c r="L6" s="16"/>
      <c r="M6" s="16"/>
    </row>
    <row r="7" spans="1:18" ht="66.75" customHeight="1" x14ac:dyDescent="0.25">
      <c r="A7" s="18" t="s">
        <v>38</v>
      </c>
      <c r="B7" s="19" t="s">
        <v>39</v>
      </c>
      <c r="C7" s="20">
        <v>2014</v>
      </c>
      <c r="D7" s="20">
        <v>2015</v>
      </c>
      <c r="E7" s="20">
        <v>2016</v>
      </c>
      <c r="F7" s="20">
        <v>2017</v>
      </c>
      <c r="G7" s="20">
        <v>2018</v>
      </c>
      <c r="H7" s="20">
        <v>2019</v>
      </c>
      <c r="I7" s="20">
        <v>2020</v>
      </c>
      <c r="J7" s="20">
        <v>2021</v>
      </c>
      <c r="K7" s="20">
        <v>2022</v>
      </c>
      <c r="L7" s="20">
        <v>2023</v>
      </c>
      <c r="M7" s="20">
        <v>2024</v>
      </c>
      <c r="N7" s="20">
        <v>2025</v>
      </c>
      <c r="O7" s="20">
        <v>2026</v>
      </c>
      <c r="P7" s="74" t="s">
        <v>40</v>
      </c>
      <c r="Q7" s="69" t="s">
        <v>156</v>
      </c>
    </row>
    <row r="8" spans="1:18" ht="13.15" x14ac:dyDescent="0.25">
      <c r="A8" s="22" t="s">
        <v>41</v>
      </c>
      <c r="B8" s="22" t="s">
        <v>42</v>
      </c>
      <c r="C8" s="23">
        <v>32</v>
      </c>
      <c r="D8" s="23">
        <v>32</v>
      </c>
      <c r="E8" s="23">
        <v>32</v>
      </c>
      <c r="F8" s="23">
        <v>32</v>
      </c>
      <c r="G8" s="23">
        <v>32</v>
      </c>
      <c r="H8" s="23">
        <v>33</v>
      </c>
      <c r="I8" s="23">
        <v>33</v>
      </c>
      <c r="J8" s="23">
        <v>33</v>
      </c>
      <c r="K8" s="23">
        <v>33</v>
      </c>
      <c r="L8" s="23">
        <v>33</v>
      </c>
      <c r="M8" s="23">
        <v>34</v>
      </c>
      <c r="N8" s="23">
        <v>34</v>
      </c>
      <c r="O8" s="23">
        <v>34</v>
      </c>
      <c r="P8" s="24">
        <v>5.0648349497708356E-3</v>
      </c>
      <c r="Q8" s="71">
        <f t="shared" ref="Q8:Q39" si="0">SUM(C8:O8)</f>
        <v>427</v>
      </c>
    </row>
    <row r="9" spans="1:18" ht="13.15" x14ac:dyDescent="0.25">
      <c r="A9" s="25"/>
      <c r="B9" s="26" t="s">
        <v>43</v>
      </c>
      <c r="C9" s="23">
        <v>351</v>
      </c>
      <c r="D9" s="23">
        <v>351</v>
      </c>
      <c r="E9" s="23">
        <v>350</v>
      </c>
      <c r="F9" s="23">
        <v>352</v>
      </c>
      <c r="G9" s="23">
        <v>354</v>
      </c>
      <c r="H9" s="23">
        <v>356</v>
      </c>
      <c r="I9" s="23">
        <v>357</v>
      </c>
      <c r="J9" s="23">
        <v>359</v>
      </c>
      <c r="K9" s="23">
        <v>362</v>
      </c>
      <c r="L9" s="23">
        <v>365</v>
      </c>
      <c r="M9" s="23">
        <v>366</v>
      </c>
      <c r="N9" s="23">
        <v>368</v>
      </c>
      <c r="O9" s="23">
        <v>369</v>
      </c>
      <c r="P9" s="24">
        <v>4.1762312985225147E-3</v>
      </c>
      <c r="Q9" s="71">
        <f t="shared" si="0"/>
        <v>4660</v>
      </c>
    </row>
    <row r="10" spans="1:18" ht="13.15" x14ac:dyDescent="0.25">
      <c r="A10" s="25"/>
      <c r="B10" s="26" t="s">
        <v>44</v>
      </c>
      <c r="C10" s="23">
        <v>16</v>
      </c>
      <c r="D10" s="23">
        <v>16</v>
      </c>
      <c r="E10" s="23">
        <v>16</v>
      </c>
      <c r="F10" s="23">
        <v>16</v>
      </c>
      <c r="G10" s="23">
        <v>16</v>
      </c>
      <c r="H10" s="23">
        <v>16</v>
      </c>
      <c r="I10" s="23">
        <v>16</v>
      </c>
      <c r="J10" s="23">
        <v>16</v>
      </c>
      <c r="K10" s="23">
        <v>16</v>
      </c>
      <c r="L10" s="23">
        <v>16</v>
      </c>
      <c r="M10" s="23">
        <v>16</v>
      </c>
      <c r="N10" s="23">
        <v>16</v>
      </c>
      <c r="O10" s="23">
        <v>17</v>
      </c>
      <c r="P10" s="24">
        <v>5.0648349497708356E-3</v>
      </c>
      <c r="Q10" s="71">
        <f t="shared" si="0"/>
        <v>209</v>
      </c>
    </row>
    <row r="11" spans="1:18" ht="13.15" x14ac:dyDescent="0.25">
      <c r="A11" s="25"/>
      <c r="B11" s="26" t="s">
        <v>45</v>
      </c>
      <c r="C11" s="23">
        <v>36</v>
      </c>
      <c r="D11" s="23">
        <v>36</v>
      </c>
      <c r="E11" s="23">
        <v>36</v>
      </c>
      <c r="F11" s="23">
        <v>36</v>
      </c>
      <c r="G11" s="23">
        <v>36</v>
      </c>
      <c r="H11" s="23">
        <v>36</v>
      </c>
      <c r="I11" s="23">
        <v>36</v>
      </c>
      <c r="J11" s="23">
        <v>36</v>
      </c>
      <c r="K11" s="23">
        <v>37</v>
      </c>
      <c r="L11" s="23">
        <v>37</v>
      </c>
      <c r="M11" s="23">
        <v>37</v>
      </c>
      <c r="N11" s="23">
        <v>37</v>
      </c>
      <c r="O11" s="23">
        <v>37</v>
      </c>
      <c r="P11" s="24">
        <v>2.2858564443581919E-3</v>
      </c>
      <c r="Q11" s="71">
        <f t="shared" si="0"/>
        <v>473</v>
      </c>
    </row>
    <row r="12" spans="1:18" ht="13.15" x14ac:dyDescent="0.25">
      <c r="A12" s="25"/>
      <c r="B12" s="26" t="s">
        <v>46</v>
      </c>
      <c r="C12" s="23">
        <v>74</v>
      </c>
      <c r="D12" s="23">
        <v>75</v>
      </c>
      <c r="E12" s="23">
        <v>74</v>
      </c>
      <c r="F12" s="23">
        <v>75</v>
      </c>
      <c r="G12" s="23">
        <v>75</v>
      </c>
      <c r="H12" s="23">
        <v>75</v>
      </c>
      <c r="I12" s="23">
        <v>76</v>
      </c>
      <c r="J12" s="23">
        <v>76</v>
      </c>
      <c r="K12" s="23">
        <v>77</v>
      </c>
      <c r="L12" s="23">
        <v>77</v>
      </c>
      <c r="M12" s="23">
        <v>78</v>
      </c>
      <c r="N12" s="23">
        <v>78</v>
      </c>
      <c r="O12" s="23">
        <v>78</v>
      </c>
      <c r="P12" s="24">
        <v>4.3966146646163828E-3</v>
      </c>
      <c r="Q12" s="71">
        <f t="shared" si="0"/>
        <v>988</v>
      </c>
    </row>
    <row r="13" spans="1:18" ht="13.15" x14ac:dyDescent="0.25">
      <c r="A13" s="25"/>
      <c r="B13" s="26" t="s">
        <v>47</v>
      </c>
      <c r="C13" s="23">
        <v>12</v>
      </c>
      <c r="D13" s="23">
        <v>12</v>
      </c>
      <c r="E13" s="23">
        <v>12</v>
      </c>
      <c r="F13" s="23">
        <v>12</v>
      </c>
      <c r="G13" s="23">
        <v>12</v>
      </c>
      <c r="H13" s="23">
        <v>12</v>
      </c>
      <c r="I13" s="23">
        <v>12</v>
      </c>
      <c r="J13" s="23">
        <v>12</v>
      </c>
      <c r="K13" s="23">
        <v>12</v>
      </c>
      <c r="L13" s="23">
        <v>12</v>
      </c>
      <c r="M13" s="23">
        <v>12</v>
      </c>
      <c r="N13" s="23">
        <v>12</v>
      </c>
      <c r="O13" s="23">
        <v>12</v>
      </c>
      <c r="P13" s="24">
        <v>0</v>
      </c>
      <c r="Q13" s="71">
        <f t="shared" si="0"/>
        <v>156</v>
      </c>
    </row>
    <row r="14" spans="1:18" ht="13.15" x14ac:dyDescent="0.25">
      <c r="A14" s="25"/>
      <c r="B14" s="26" t="s">
        <v>48</v>
      </c>
      <c r="C14" s="23">
        <v>449</v>
      </c>
      <c r="D14" s="23">
        <v>449</v>
      </c>
      <c r="E14" s="23">
        <v>448</v>
      </c>
      <c r="F14" s="23">
        <v>451</v>
      </c>
      <c r="G14" s="23">
        <v>453</v>
      </c>
      <c r="H14" s="23">
        <v>455</v>
      </c>
      <c r="I14" s="23">
        <v>457</v>
      </c>
      <c r="J14" s="23">
        <v>460</v>
      </c>
      <c r="K14" s="23">
        <v>463</v>
      </c>
      <c r="L14" s="23">
        <v>466</v>
      </c>
      <c r="M14" s="23">
        <v>468</v>
      </c>
      <c r="N14" s="23">
        <v>470</v>
      </c>
      <c r="O14" s="23">
        <v>472</v>
      </c>
      <c r="P14" s="24">
        <v>4.1716855091740168E-3</v>
      </c>
      <c r="Q14" s="71">
        <f t="shared" si="0"/>
        <v>5961</v>
      </c>
    </row>
    <row r="15" spans="1:18" ht="13.15" x14ac:dyDescent="0.25">
      <c r="A15" s="25"/>
      <c r="B15" s="26" t="s">
        <v>19</v>
      </c>
      <c r="C15" s="23">
        <v>134</v>
      </c>
      <c r="D15" s="23">
        <v>135</v>
      </c>
      <c r="E15" s="23">
        <v>134</v>
      </c>
      <c r="F15" s="23">
        <v>135</v>
      </c>
      <c r="G15" s="23">
        <v>136</v>
      </c>
      <c r="H15" s="23">
        <v>136</v>
      </c>
      <c r="I15" s="23">
        <v>137</v>
      </c>
      <c r="J15" s="23">
        <v>138</v>
      </c>
      <c r="K15" s="23">
        <v>139</v>
      </c>
      <c r="L15" s="23">
        <v>140</v>
      </c>
      <c r="M15" s="23">
        <v>140</v>
      </c>
      <c r="N15" s="23">
        <v>141</v>
      </c>
      <c r="O15" s="23">
        <v>141</v>
      </c>
      <c r="P15" s="24">
        <v>4.2523565875483005E-3</v>
      </c>
      <c r="Q15" s="71">
        <f t="shared" si="0"/>
        <v>1786</v>
      </c>
    </row>
    <row r="16" spans="1:18" ht="13.15" x14ac:dyDescent="0.25">
      <c r="A16" s="25"/>
      <c r="B16" s="26" t="s">
        <v>49</v>
      </c>
      <c r="C16" s="23">
        <v>962</v>
      </c>
      <c r="D16" s="23">
        <v>962</v>
      </c>
      <c r="E16" s="23">
        <v>960</v>
      </c>
      <c r="F16" s="23">
        <v>965</v>
      </c>
      <c r="G16" s="23">
        <v>970</v>
      </c>
      <c r="H16" s="23">
        <v>974</v>
      </c>
      <c r="I16" s="23">
        <v>979</v>
      </c>
      <c r="J16" s="23">
        <v>985</v>
      </c>
      <c r="K16" s="23">
        <v>992</v>
      </c>
      <c r="L16" s="23">
        <v>999</v>
      </c>
      <c r="M16" s="23">
        <v>1004</v>
      </c>
      <c r="N16" s="23">
        <v>1008</v>
      </c>
      <c r="O16" s="23">
        <v>1012</v>
      </c>
      <c r="P16" s="24">
        <v>4.2313770338466838E-3</v>
      </c>
      <c r="Q16" s="71">
        <f t="shared" si="0"/>
        <v>12772</v>
      </c>
    </row>
    <row r="17" spans="1:17" ht="13.15" x14ac:dyDescent="0.25">
      <c r="A17" s="25"/>
      <c r="B17" s="26" t="s">
        <v>50</v>
      </c>
      <c r="C17" s="23">
        <v>1021</v>
      </c>
      <c r="D17" s="23">
        <v>1021</v>
      </c>
      <c r="E17" s="23">
        <v>1019</v>
      </c>
      <c r="F17" s="23">
        <v>1025</v>
      </c>
      <c r="G17" s="23">
        <v>1030</v>
      </c>
      <c r="H17" s="23">
        <v>1034</v>
      </c>
      <c r="I17" s="23">
        <v>1039</v>
      </c>
      <c r="J17" s="23">
        <v>1045</v>
      </c>
      <c r="K17" s="23">
        <v>1053</v>
      </c>
      <c r="L17" s="23">
        <v>1061</v>
      </c>
      <c r="M17" s="23">
        <v>1065</v>
      </c>
      <c r="N17" s="23">
        <v>1070</v>
      </c>
      <c r="O17" s="23">
        <v>1074</v>
      </c>
      <c r="P17" s="24">
        <v>4.226193349001317E-3</v>
      </c>
      <c r="Q17" s="71">
        <f t="shared" si="0"/>
        <v>13557</v>
      </c>
    </row>
    <row r="18" spans="1:17" ht="13.15" x14ac:dyDescent="0.25">
      <c r="A18" s="25"/>
      <c r="B18" s="26" t="s">
        <v>51</v>
      </c>
      <c r="C18" s="23">
        <v>109</v>
      </c>
      <c r="D18" s="23">
        <v>109</v>
      </c>
      <c r="E18" s="23">
        <v>109</v>
      </c>
      <c r="F18" s="23">
        <v>109</v>
      </c>
      <c r="G18" s="23">
        <v>110</v>
      </c>
      <c r="H18" s="23">
        <v>110</v>
      </c>
      <c r="I18" s="23">
        <v>111</v>
      </c>
      <c r="J18" s="23">
        <v>112</v>
      </c>
      <c r="K18" s="23">
        <v>112</v>
      </c>
      <c r="L18" s="23">
        <v>113</v>
      </c>
      <c r="M18" s="23">
        <v>114</v>
      </c>
      <c r="N18" s="23">
        <v>114</v>
      </c>
      <c r="O18" s="23">
        <v>115</v>
      </c>
      <c r="P18" s="24">
        <v>4.4753383929694301E-3</v>
      </c>
      <c r="Q18" s="71">
        <f t="shared" si="0"/>
        <v>1447</v>
      </c>
    </row>
    <row r="19" spans="1:17" ht="13.15" x14ac:dyDescent="0.25">
      <c r="A19" s="25"/>
      <c r="B19" s="26" t="s">
        <v>52</v>
      </c>
      <c r="C19" s="23">
        <v>837</v>
      </c>
      <c r="D19" s="23">
        <v>1614</v>
      </c>
      <c r="E19" s="23">
        <v>1614</v>
      </c>
      <c r="F19" s="23">
        <v>1614</v>
      </c>
      <c r="G19" s="23">
        <v>1614</v>
      </c>
      <c r="H19" s="23">
        <v>1614</v>
      </c>
      <c r="I19" s="23">
        <v>1614</v>
      </c>
      <c r="J19" s="23">
        <v>1614</v>
      </c>
      <c r="K19" s="23">
        <v>1614</v>
      </c>
      <c r="L19" s="23">
        <v>1614</v>
      </c>
      <c r="M19" s="23">
        <v>1614</v>
      </c>
      <c r="N19" s="23">
        <v>1614</v>
      </c>
      <c r="O19" s="23">
        <v>1614</v>
      </c>
      <c r="P19" s="24">
        <v>5.6245421348329439E-2</v>
      </c>
      <c r="Q19" s="71">
        <f t="shared" si="0"/>
        <v>20205</v>
      </c>
    </row>
    <row r="20" spans="1:17" ht="13.15" x14ac:dyDescent="0.25">
      <c r="A20" s="25"/>
      <c r="B20" s="26" t="s">
        <v>53</v>
      </c>
      <c r="C20" s="23">
        <v>20</v>
      </c>
      <c r="D20" s="23">
        <v>20</v>
      </c>
      <c r="E20" s="23">
        <v>20</v>
      </c>
      <c r="F20" s="23">
        <v>20</v>
      </c>
      <c r="G20" s="23">
        <v>20</v>
      </c>
      <c r="H20" s="23">
        <v>21</v>
      </c>
      <c r="I20" s="23">
        <v>21</v>
      </c>
      <c r="J20" s="23">
        <v>21</v>
      </c>
      <c r="K20" s="23">
        <v>21</v>
      </c>
      <c r="L20" s="23">
        <v>21</v>
      </c>
      <c r="M20" s="23">
        <v>21</v>
      </c>
      <c r="N20" s="23">
        <v>21</v>
      </c>
      <c r="O20" s="23">
        <v>21</v>
      </c>
      <c r="P20" s="24">
        <v>4.0741237836483535E-3</v>
      </c>
      <c r="Q20" s="71">
        <f t="shared" si="0"/>
        <v>268</v>
      </c>
    </row>
    <row r="21" spans="1:17" ht="13.15" x14ac:dyDescent="0.25">
      <c r="A21" s="25"/>
      <c r="B21" s="26" t="s">
        <v>18</v>
      </c>
      <c r="C21" s="23">
        <v>132</v>
      </c>
      <c r="D21" s="23">
        <v>132</v>
      </c>
      <c r="E21" s="23">
        <v>131</v>
      </c>
      <c r="F21" s="23">
        <v>132</v>
      </c>
      <c r="G21" s="23">
        <v>133</v>
      </c>
      <c r="H21" s="23">
        <v>133</v>
      </c>
      <c r="I21" s="23">
        <v>134</v>
      </c>
      <c r="J21" s="23">
        <v>135</v>
      </c>
      <c r="K21" s="23">
        <v>136</v>
      </c>
      <c r="L21" s="23">
        <v>137</v>
      </c>
      <c r="M21" s="23">
        <v>137</v>
      </c>
      <c r="N21" s="23">
        <v>138</v>
      </c>
      <c r="O21" s="23">
        <v>138</v>
      </c>
      <c r="P21" s="24">
        <v>3.7111829965774668E-3</v>
      </c>
      <c r="Q21" s="71">
        <f t="shared" si="0"/>
        <v>1748</v>
      </c>
    </row>
    <row r="22" spans="1:17" ht="13.15" x14ac:dyDescent="0.25">
      <c r="A22" s="25"/>
      <c r="B22" s="26" t="s">
        <v>54</v>
      </c>
      <c r="C22" s="23">
        <v>75421</v>
      </c>
      <c r="D22" s="23">
        <v>72904</v>
      </c>
      <c r="E22" s="23">
        <v>72567</v>
      </c>
      <c r="F22" s="23">
        <v>73061</v>
      </c>
      <c r="G22" s="23">
        <v>73503</v>
      </c>
      <c r="H22" s="23">
        <v>73844</v>
      </c>
      <c r="I22" s="23">
        <v>74260</v>
      </c>
      <c r="J22" s="23">
        <v>74772</v>
      </c>
      <c r="K22" s="23">
        <v>75440</v>
      </c>
      <c r="L22" s="23">
        <v>76052</v>
      </c>
      <c r="M22" s="23">
        <v>76456</v>
      </c>
      <c r="N22" s="23">
        <v>76806</v>
      </c>
      <c r="O22" s="23">
        <v>77134</v>
      </c>
      <c r="P22" s="24">
        <v>1.8732872703965953E-3</v>
      </c>
      <c r="Q22" s="71">
        <f t="shared" si="0"/>
        <v>972220</v>
      </c>
    </row>
    <row r="23" spans="1:17" ht="13.15" x14ac:dyDescent="0.25">
      <c r="A23" s="25"/>
      <c r="B23" s="26" t="s">
        <v>55</v>
      </c>
      <c r="C23" s="23">
        <v>9520</v>
      </c>
      <c r="D23" s="23">
        <v>9520</v>
      </c>
      <c r="E23" s="23">
        <v>9520</v>
      </c>
      <c r="F23" s="23">
        <v>9520</v>
      </c>
      <c r="G23" s="23">
        <v>9520</v>
      </c>
      <c r="H23" s="23">
        <v>9520</v>
      </c>
      <c r="I23" s="23">
        <v>9520</v>
      </c>
      <c r="J23" s="23">
        <v>9520</v>
      </c>
      <c r="K23" s="23">
        <v>9520</v>
      </c>
      <c r="L23" s="23">
        <v>9520</v>
      </c>
      <c r="M23" s="23">
        <v>9520</v>
      </c>
      <c r="N23" s="23">
        <v>9520</v>
      </c>
      <c r="O23" s="23">
        <v>9520</v>
      </c>
      <c r="P23" s="24">
        <v>0</v>
      </c>
      <c r="Q23" s="71">
        <f t="shared" si="0"/>
        <v>123760</v>
      </c>
    </row>
    <row r="24" spans="1:17" ht="13.15" x14ac:dyDescent="0.25">
      <c r="A24" s="25"/>
      <c r="B24" s="26" t="s">
        <v>56</v>
      </c>
      <c r="C24" s="23">
        <v>1255</v>
      </c>
      <c r="D24" s="23">
        <v>1702</v>
      </c>
      <c r="E24" s="23">
        <v>1819</v>
      </c>
      <c r="F24" s="23">
        <v>1828</v>
      </c>
      <c r="G24" s="23">
        <v>1838</v>
      </c>
      <c r="H24" s="23">
        <v>1847</v>
      </c>
      <c r="I24" s="23">
        <v>1856</v>
      </c>
      <c r="J24" s="23">
        <v>1865</v>
      </c>
      <c r="K24" s="23">
        <v>1875</v>
      </c>
      <c r="L24" s="23">
        <v>1884</v>
      </c>
      <c r="M24" s="23">
        <v>1893</v>
      </c>
      <c r="N24" s="23">
        <v>1903</v>
      </c>
      <c r="O24" s="23">
        <v>1912</v>
      </c>
      <c r="P24" s="24">
        <v>3.5707243253099152E-2</v>
      </c>
      <c r="Q24" s="71">
        <f t="shared" si="0"/>
        <v>23477</v>
      </c>
    </row>
    <row r="25" spans="1:17" ht="13.15" x14ac:dyDescent="0.25">
      <c r="A25" s="25"/>
      <c r="B25" s="26" t="s">
        <v>57</v>
      </c>
      <c r="C25" s="23">
        <v>436</v>
      </c>
      <c r="D25" s="23">
        <v>1770</v>
      </c>
      <c r="E25" s="23">
        <v>1774</v>
      </c>
      <c r="F25" s="23">
        <v>1777</v>
      </c>
      <c r="G25" s="23">
        <v>1781</v>
      </c>
      <c r="H25" s="23">
        <v>1784</v>
      </c>
      <c r="I25" s="23">
        <v>1788</v>
      </c>
      <c r="J25" s="23">
        <v>1791</v>
      </c>
      <c r="K25" s="23">
        <v>1795</v>
      </c>
      <c r="L25" s="23">
        <v>1799</v>
      </c>
      <c r="M25" s="23">
        <v>1802</v>
      </c>
      <c r="N25" s="23">
        <v>1806</v>
      </c>
      <c r="O25" s="23">
        <v>1810</v>
      </c>
      <c r="P25" s="24">
        <v>0.12594196785905409</v>
      </c>
      <c r="Q25" s="71">
        <f t="shared" si="0"/>
        <v>21913</v>
      </c>
    </row>
    <row r="26" spans="1:17" ht="13.15" x14ac:dyDescent="0.25">
      <c r="A26" s="25"/>
      <c r="B26" s="26" t="s">
        <v>58</v>
      </c>
      <c r="C26" s="23">
        <v>149</v>
      </c>
      <c r="D26" s="23">
        <v>149</v>
      </c>
      <c r="E26" s="23">
        <v>149</v>
      </c>
      <c r="F26" s="23">
        <v>150</v>
      </c>
      <c r="G26" s="23">
        <v>150</v>
      </c>
      <c r="H26" s="23">
        <v>151</v>
      </c>
      <c r="I26" s="23">
        <v>152</v>
      </c>
      <c r="J26" s="23">
        <v>153</v>
      </c>
      <c r="K26" s="23">
        <v>154</v>
      </c>
      <c r="L26" s="23">
        <v>155</v>
      </c>
      <c r="M26" s="23">
        <v>156</v>
      </c>
      <c r="N26" s="23">
        <v>156</v>
      </c>
      <c r="O26" s="23">
        <v>157</v>
      </c>
      <c r="P26" s="24">
        <v>4.3678027822706689E-3</v>
      </c>
      <c r="Q26" s="71">
        <f t="shared" si="0"/>
        <v>1981</v>
      </c>
    </row>
    <row r="27" spans="1:17" ht="13.15" x14ac:dyDescent="0.25">
      <c r="A27" s="25"/>
      <c r="B27" s="26" t="s">
        <v>21</v>
      </c>
      <c r="C27" s="23">
        <v>48</v>
      </c>
      <c r="D27" s="23">
        <v>48</v>
      </c>
      <c r="E27" s="23">
        <v>48</v>
      </c>
      <c r="F27" s="23">
        <v>49</v>
      </c>
      <c r="G27" s="23">
        <v>49</v>
      </c>
      <c r="H27" s="23">
        <v>49</v>
      </c>
      <c r="I27" s="23">
        <v>49</v>
      </c>
      <c r="J27" s="23">
        <v>49</v>
      </c>
      <c r="K27" s="23">
        <v>50</v>
      </c>
      <c r="L27" s="23">
        <v>50</v>
      </c>
      <c r="M27" s="23">
        <v>50</v>
      </c>
      <c r="N27" s="23">
        <v>51</v>
      </c>
      <c r="O27" s="23">
        <v>51</v>
      </c>
      <c r="P27" s="24">
        <v>5.0648349497708356E-3</v>
      </c>
      <c r="Q27" s="71">
        <f t="shared" si="0"/>
        <v>641</v>
      </c>
    </row>
    <row r="28" spans="1:17" ht="13.15" x14ac:dyDescent="0.25">
      <c r="A28" s="25"/>
      <c r="B28" s="26" t="s">
        <v>59</v>
      </c>
      <c r="C28" s="23">
        <v>20</v>
      </c>
      <c r="D28" s="23">
        <v>20</v>
      </c>
      <c r="E28" s="23">
        <v>19</v>
      </c>
      <c r="F28" s="23">
        <v>20</v>
      </c>
      <c r="G28" s="23">
        <v>20</v>
      </c>
      <c r="H28" s="23">
        <v>20</v>
      </c>
      <c r="I28" s="23">
        <v>20</v>
      </c>
      <c r="J28" s="23">
        <v>20</v>
      </c>
      <c r="K28" s="23">
        <v>20</v>
      </c>
      <c r="L28" s="23">
        <v>20</v>
      </c>
      <c r="M28" s="23">
        <v>20</v>
      </c>
      <c r="N28" s="23">
        <v>20</v>
      </c>
      <c r="O28" s="23">
        <v>21</v>
      </c>
      <c r="P28" s="24">
        <v>4.0741237836483535E-3</v>
      </c>
      <c r="Q28" s="71">
        <f t="shared" si="0"/>
        <v>260</v>
      </c>
    </row>
    <row r="29" spans="1:17" ht="13.15" x14ac:dyDescent="0.25">
      <c r="A29" s="25"/>
      <c r="B29" s="26" t="s">
        <v>10</v>
      </c>
      <c r="C29" s="23">
        <v>3024</v>
      </c>
      <c r="D29" s="23">
        <v>3026</v>
      </c>
      <c r="E29" s="23">
        <v>3018</v>
      </c>
      <c r="F29" s="23">
        <v>3036</v>
      </c>
      <c r="G29" s="23">
        <v>3052</v>
      </c>
      <c r="H29" s="23">
        <v>3064</v>
      </c>
      <c r="I29" s="23">
        <v>3079</v>
      </c>
      <c r="J29" s="23">
        <v>3097</v>
      </c>
      <c r="K29" s="23">
        <v>3120</v>
      </c>
      <c r="L29" s="23">
        <v>3142</v>
      </c>
      <c r="M29" s="23">
        <v>3156</v>
      </c>
      <c r="N29" s="23">
        <v>3169</v>
      </c>
      <c r="O29" s="23">
        <v>3181</v>
      </c>
      <c r="P29" s="24">
        <v>4.2268375222822563E-3</v>
      </c>
      <c r="Q29" s="71">
        <f t="shared" si="0"/>
        <v>40164</v>
      </c>
    </row>
    <row r="30" spans="1:17" ht="13.15" x14ac:dyDescent="0.25">
      <c r="A30" s="25"/>
      <c r="B30" s="26" t="s">
        <v>60</v>
      </c>
      <c r="C30" s="23">
        <v>23</v>
      </c>
      <c r="D30" s="23">
        <v>23</v>
      </c>
      <c r="E30" s="23">
        <v>23</v>
      </c>
      <c r="F30" s="23">
        <v>23</v>
      </c>
      <c r="G30" s="23">
        <v>24</v>
      </c>
      <c r="H30" s="23">
        <v>24</v>
      </c>
      <c r="I30" s="23">
        <v>24</v>
      </c>
      <c r="J30" s="23">
        <v>24</v>
      </c>
      <c r="K30" s="23">
        <v>24</v>
      </c>
      <c r="L30" s="23">
        <v>24</v>
      </c>
      <c r="M30" s="23">
        <v>24</v>
      </c>
      <c r="N30" s="23">
        <v>24</v>
      </c>
      <c r="O30" s="23">
        <v>25</v>
      </c>
      <c r="P30" s="24">
        <v>6.9726640219258673E-3</v>
      </c>
      <c r="Q30" s="71">
        <f t="shared" si="0"/>
        <v>309</v>
      </c>
    </row>
    <row r="31" spans="1:17" ht="13.15" x14ac:dyDescent="0.25">
      <c r="A31" s="25"/>
      <c r="B31" s="26" t="s">
        <v>61</v>
      </c>
      <c r="C31" s="23">
        <v>1493</v>
      </c>
      <c r="D31" s="23">
        <v>1493</v>
      </c>
      <c r="E31" s="23">
        <v>1490</v>
      </c>
      <c r="F31" s="23">
        <v>1498</v>
      </c>
      <c r="G31" s="23">
        <v>1506</v>
      </c>
      <c r="H31" s="23">
        <v>1512</v>
      </c>
      <c r="I31" s="23">
        <v>1519</v>
      </c>
      <c r="J31" s="23">
        <v>1528</v>
      </c>
      <c r="K31" s="23">
        <v>1540</v>
      </c>
      <c r="L31" s="23">
        <v>1551</v>
      </c>
      <c r="M31" s="23">
        <v>1558</v>
      </c>
      <c r="N31" s="23">
        <v>1564</v>
      </c>
      <c r="O31" s="23">
        <v>1570</v>
      </c>
      <c r="P31" s="24">
        <v>4.19946822448658E-3</v>
      </c>
      <c r="Q31" s="71">
        <f t="shared" si="0"/>
        <v>19822</v>
      </c>
    </row>
    <row r="32" spans="1:17" ht="13.15" x14ac:dyDescent="0.25">
      <c r="A32" s="22" t="s">
        <v>62</v>
      </c>
      <c r="B32" s="27"/>
      <c r="C32" s="23">
        <v>95574</v>
      </c>
      <c r="D32" s="23">
        <v>95619</v>
      </c>
      <c r="E32" s="23">
        <v>95382</v>
      </c>
      <c r="F32" s="23">
        <v>95936</v>
      </c>
      <c r="G32" s="23">
        <v>96434</v>
      </c>
      <c r="H32" s="23">
        <v>96820</v>
      </c>
      <c r="I32" s="23">
        <v>97289</v>
      </c>
      <c r="J32" s="23">
        <v>97861</v>
      </c>
      <c r="K32" s="23">
        <v>98605</v>
      </c>
      <c r="L32" s="23">
        <v>99288</v>
      </c>
      <c r="M32" s="23">
        <v>99741</v>
      </c>
      <c r="N32" s="23">
        <v>100140</v>
      </c>
      <c r="O32" s="23">
        <v>100515</v>
      </c>
      <c r="P32" s="24">
        <v>4.2093473154383165E-3</v>
      </c>
      <c r="Q32" s="71">
        <f t="shared" si="0"/>
        <v>1269204</v>
      </c>
    </row>
    <row r="33" spans="1:17" ht="13.15" x14ac:dyDescent="0.25">
      <c r="A33" s="22" t="s">
        <v>1</v>
      </c>
      <c r="B33" s="26" t="s">
        <v>31</v>
      </c>
      <c r="C33" s="23">
        <v>49</v>
      </c>
      <c r="D33" s="23">
        <v>50</v>
      </c>
      <c r="E33" s="23">
        <v>50</v>
      </c>
      <c r="F33" s="23">
        <v>50</v>
      </c>
      <c r="G33" s="23">
        <v>50</v>
      </c>
      <c r="H33" s="23">
        <v>50</v>
      </c>
      <c r="I33" s="23">
        <v>51</v>
      </c>
      <c r="J33" s="23">
        <v>51</v>
      </c>
      <c r="K33" s="23">
        <v>51</v>
      </c>
      <c r="L33" s="23">
        <v>51</v>
      </c>
      <c r="M33" s="23">
        <v>51</v>
      </c>
      <c r="N33" s="23">
        <v>51</v>
      </c>
      <c r="O33" s="23">
        <v>51</v>
      </c>
      <c r="P33" s="24">
        <v>3.3393411024262853E-3</v>
      </c>
      <c r="Q33" s="71">
        <f t="shared" si="0"/>
        <v>656</v>
      </c>
    </row>
    <row r="34" spans="1:17" ht="13.15" x14ac:dyDescent="0.25">
      <c r="A34" s="26"/>
      <c r="B34" s="26" t="s">
        <v>63</v>
      </c>
      <c r="C34" s="23">
        <v>256</v>
      </c>
      <c r="D34" s="23">
        <v>261</v>
      </c>
      <c r="E34" s="23">
        <v>263</v>
      </c>
      <c r="F34" s="23">
        <v>263</v>
      </c>
      <c r="G34" s="23">
        <v>263</v>
      </c>
      <c r="H34" s="23">
        <v>264</v>
      </c>
      <c r="I34" s="23">
        <v>264</v>
      </c>
      <c r="J34" s="23">
        <v>265</v>
      </c>
      <c r="K34" s="23">
        <v>266</v>
      </c>
      <c r="L34" s="23">
        <v>267</v>
      </c>
      <c r="M34" s="23">
        <v>268</v>
      </c>
      <c r="N34" s="23">
        <v>269</v>
      </c>
      <c r="O34" s="23">
        <v>269</v>
      </c>
      <c r="P34" s="24">
        <v>4.1363591429783853E-3</v>
      </c>
      <c r="Q34" s="71">
        <f t="shared" si="0"/>
        <v>3438</v>
      </c>
    </row>
    <row r="35" spans="1:17" ht="13.15" x14ac:dyDescent="0.25">
      <c r="A35" s="25"/>
      <c r="B35" s="26" t="s">
        <v>64</v>
      </c>
      <c r="C35" s="23">
        <v>129</v>
      </c>
      <c r="D35" s="23">
        <v>132</v>
      </c>
      <c r="E35" s="23">
        <v>132</v>
      </c>
      <c r="F35" s="23">
        <v>132</v>
      </c>
      <c r="G35" s="23">
        <v>133</v>
      </c>
      <c r="H35" s="23">
        <v>133</v>
      </c>
      <c r="I35" s="23">
        <v>133</v>
      </c>
      <c r="J35" s="23">
        <v>133</v>
      </c>
      <c r="K35" s="23">
        <v>134</v>
      </c>
      <c r="L35" s="23">
        <v>134</v>
      </c>
      <c r="M35" s="23">
        <v>135</v>
      </c>
      <c r="N35" s="23">
        <v>135</v>
      </c>
      <c r="O35" s="23">
        <v>135</v>
      </c>
      <c r="P35" s="24">
        <v>3.7957167286559734E-3</v>
      </c>
      <c r="Q35" s="71">
        <f t="shared" si="0"/>
        <v>1730</v>
      </c>
    </row>
    <row r="36" spans="1:17" ht="13.15" x14ac:dyDescent="0.25">
      <c r="A36" s="25"/>
      <c r="B36" s="26" t="s">
        <v>4</v>
      </c>
      <c r="C36" s="23">
        <v>2322</v>
      </c>
      <c r="D36" s="23">
        <v>2373</v>
      </c>
      <c r="E36" s="23">
        <v>2387</v>
      </c>
      <c r="F36" s="23">
        <v>2387</v>
      </c>
      <c r="G36" s="23">
        <v>2391</v>
      </c>
      <c r="H36" s="23">
        <v>2393</v>
      </c>
      <c r="I36" s="23">
        <v>2399</v>
      </c>
      <c r="J36" s="23">
        <v>2403</v>
      </c>
      <c r="K36" s="23">
        <v>2418</v>
      </c>
      <c r="L36" s="23">
        <v>2426</v>
      </c>
      <c r="M36" s="23">
        <v>2431</v>
      </c>
      <c r="N36" s="23">
        <v>2439</v>
      </c>
      <c r="O36" s="23">
        <v>2441</v>
      </c>
      <c r="P36" s="24">
        <v>4.1735942984204577E-3</v>
      </c>
      <c r="Q36" s="71">
        <f t="shared" si="0"/>
        <v>31210</v>
      </c>
    </row>
    <row r="37" spans="1:17" ht="13.15" x14ac:dyDescent="0.25">
      <c r="A37" s="25"/>
      <c r="B37" s="26" t="s">
        <v>65</v>
      </c>
      <c r="C37" s="23">
        <v>147</v>
      </c>
      <c r="D37" s="23">
        <v>150</v>
      </c>
      <c r="E37" s="23">
        <v>151</v>
      </c>
      <c r="F37" s="23">
        <v>151</v>
      </c>
      <c r="G37" s="23">
        <v>151</v>
      </c>
      <c r="H37" s="23">
        <v>151</v>
      </c>
      <c r="I37" s="23">
        <v>151</v>
      </c>
      <c r="J37" s="23">
        <v>152</v>
      </c>
      <c r="K37" s="23">
        <v>153</v>
      </c>
      <c r="L37" s="23">
        <v>153</v>
      </c>
      <c r="M37" s="23">
        <v>153</v>
      </c>
      <c r="N37" s="23">
        <v>154</v>
      </c>
      <c r="O37" s="23">
        <v>154</v>
      </c>
      <c r="P37" s="24">
        <v>3.8841919663850089E-3</v>
      </c>
      <c r="Q37" s="71">
        <f t="shared" si="0"/>
        <v>1971</v>
      </c>
    </row>
    <row r="38" spans="1:17" ht="13.15" x14ac:dyDescent="0.25">
      <c r="A38" s="25"/>
      <c r="B38" s="26" t="s">
        <v>14</v>
      </c>
      <c r="C38" s="23">
        <v>81</v>
      </c>
      <c r="D38" s="23">
        <v>83</v>
      </c>
      <c r="E38" s="23">
        <v>83</v>
      </c>
      <c r="F38" s="23">
        <v>83</v>
      </c>
      <c r="G38" s="23">
        <v>83</v>
      </c>
      <c r="H38" s="23">
        <v>83</v>
      </c>
      <c r="I38" s="23">
        <v>84</v>
      </c>
      <c r="J38" s="23">
        <v>84</v>
      </c>
      <c r="K38" s="23">
        <v>84</v>
      </c>
      <c r="L38" s="23">
        <v>85</v>
      </c>
      <c r="M38" s="23">
        <v>85</v>
      </c>
      <c r="N38" s="23">
        <v>85</v>
      </c>
      <c r="O38" s="23">
        <v>85</v>
      </c>
      <c r="P38" s="24">
        <v>4.0249201400779366E-3</v>
      </c>
      <c r="Q38" s="71">
        <f t="shared" si="0"/>
        <v>1088</v>
      </c>
    </row>
    <row r="39" spans="1:17" ht="13.15" x14ac:dyDescent="0.25">
      <c r="A39" s="25"/>
      <c r="B39" s="26" t="s">
        <v>66</v>
      </c>
      <c r="C39" s="23">
        <v>356</v>
      </c>
      <c r="D39" s="23">
        <v>364</v>
      </c>
      <c r="E39" s="23">
        <v>366</v>
      </c>
      <c r="F39" s="23">
        <v>366</v>
      </c>
      <c r="G39" s="23">
        <v>367</v>
      </c>
      <c r="H39" s="23">
        <v>367</v>
      </c>
      <c r="I39" s="23">
        <v>368</v>
      </c>
      <c r="J39" s="23">
        <v>369</v>
      </c>
      <c r="K39" s="23">
        <v>371</v>
      </c>
      <c r="L39" s="23">
        <v>372</v>
      </c>
      <c r="M39" s="23">
        <v>373</v>
      </c>
      <c r="N39" s="23">
        <v>374</v>
      </c>
      <c r="O39" s="23">
        <v>374</v>
      </c>
      <c r="P39" s="24">
        <v>4.118881585487344E-3</v>
      </c>
      <c r="Q39" s="71">
        <f t="shared" si="0"/>
        <v>4787</v>
      </c>
    </row>
    <row r="40" spans="1:17" ht="13.15" x14ac:dyDescent="0.25">
      <c r="A40" s="25"/>
      <c r="B40" s="26" t="s">
        <v>67</v>
      </c>
      <c r="C40" s="23">
        <v>149</v>
      </c>
      <c r="D40" s="23">
        <v>152</v>
      </c>
      <c r="E40" s="23">
        <v>153</v>
      </c>
      <c r="F40" s="23">
        <v>153</v>
      </c>
      <c r="G40" s="23">
        <v>153</v>
      </c>
      <c r="H40" s="23">
        <v>153</v>
      </c>
      <c r="I40" s="23">
        <v>154</v>
      </c>
      <c r="J40" s="23">
        <v>154</v>
      </c>
      <c r="K40" s="23">
        <v>155</v>
      </c>
      <c r="L40" s="23">
        <v>155</v>
      </c>
      <c r="M40" s="23">
        <v>156</v>
      </c>
      <c r="N40" s="23">
        <v>156</v>
      </c>
      <c r="O40" s="23">
        <v>156</v>
      </c>
      <c r="P40" s="24">
        <v>3.8331361889960558E-3</v>
      </c>
      <c r="Q40" s="71">
        <f t="shared" ref="Q40:Q71" si="1">SUM(C40:O40)</f>
        <v>1999</v>
      </c>
    </row>
    <row r="41" spans="1:17" ht="13.15" x14ac:dyDescent="0.25">
      <c r="A41" s="25"/>
      <c r="B41" s="26" t="s">
        <v>68</v>
      </c>
      <c r="C41" s="23">
        <v>1151</v>
      </c>
      <c r="D41" s="23">
        <v>1177</v>
      </c>
      <c r="E41" s="23">
        <v>1183</v>
      </c>
      <c r="F41" s="23">
        <v>1184</v>
      </c>
      <c r="G41" s="23">
        <v>1185</v>
      </c>
      <c r="H41" s="23">
        <v>1187</v>
      </c>
      <c r="I41" s="23">
        <v>1190</v>
      </c>
      <c r="J41" s="23">
        <v>1192</v>
      </c>
      <c r="K41" s="23">
        <v>1199</v>
      </c>
      <c r="L41" s="23">
        <v>1203</v>
      </c>
      <c r="M41" s="23">
        <v>1205</v>
      </c>
      <c r="N41" s="23">
        <v>1209</v>
      </c>
      <c r="O41" s="23">
        <v>1210</v>
      </c>
      <c r="P41" s="24">
        <v>4.1744580331677383E-3</v>
      </c>
      <c r="Q41" s="71">
        <f t="shared" si="1"/>
        <v>15475</v>
      </c>
    </row>
    <row r="42" spans="1:17" ht="13.15" x14ac:dyDescent="0.25">
      <c r="A42" s="25"/>
      <c r="B42" s="26" t="s">
        <v>69</v>
      </c>
      <c r="C42" s="23">
        <v>76</v>
      </c>
      <c r="D42" s="23">
        <v>77</v>
      </c>
      <c r="E42" s="23">
        <v>78</v>
      </c>
      <c r="F42" s="23">
        <v>78</v>
      </c>
      <c r="G42" s="23">
        <v>78</v>
      </c>
      <c r="H42" s="23">
        <v>78</v>
      </c>
      <c r="I42" s="23">
        <v>78</v>
      </c>
      <c r="J42" s="23">
        <v>78</v>
      </c>
      <c r="K42" s="23">
        <v>79</v>
      </c>
      <c r="L42" s="23">
        <v>79</v>
      </c>
      <c r="M42" s="23">
        <v>79</v>
      </c>
      <c r="N42" s="23">
        <v>80</v>
      </c>
      <c r="O42" s="23">
        <v>80</v>
      </c>
      <c r="P42" s="24">
        <v>4.283589652942732E-3</v>
      </c>
      <c r="Q42" s="71">
        <f t="shared" si="1"/>
        <v>1018</v>
      </c>
    </row>
    <row r="43" spans="1:17" ht="13.15" x14ac:dyDescent="0.25">
      <c r="A43" s="25"/>
      <c r="B43" s="26" t="s">
        <v>70</v>
      </c>
      <c r="C43" s="23">
        <v>2232</v>
      </c>
      <c r="D43" s="23">
        <v>2282</v>
      </c>
      <c r="E43" s="23">
        <v>2295</v>
      </c>
      <c r="F43" s="23">
        <v>2295</v>
      </c>
      <c r="G43" s="23">
        <v>2299</v>
      </c>
      <c r="H43" s="23">
        <v>2301</v>
      </c>
      <c r="I43" s="23">
        <v>2307</v>
      </c>
      <c r="J43" s="23">
        <v>2311</v>
      </c>
      <c r="K43" s="23">
        <v>2325</v>
      </c>
      <c r="L43" s="23">
        <v>2332</v>
      </c>
      <c r="M43" s="23">
        <v>2337</v>
      </c>
      <c r="N43" s="23">
        <v>2345</v>
      </c>
      <c r="O43" s="23">
        <v>2347</v>
      </c>
      <c r="P43" s="24">
        <v>4.1954323169968166E-3</v>
      </c>
      <c r="Q43" s="71">
        <f t="shared" si="1"/>
        <v>30008</v>
      </c>
    </row>
    <row r="44" spans="1:17" ht="13.15" x14ac:dyDescent="0.25">
      <c r="A44" s="25"/>
      <c r="B44" s="26" t="s">
        <v>35</v>
      </c>
      <c r="C44" s="23">
        <v>1156</v>
      </c>
      <c r="D44" s="23">
        <v>1182</v>
      </c>
      <c r="E44" s="23">
        <v>1189</v>
      </c>
      <c r="F44" s="23">
        <v>1189</v>
      </c>
      <c r="G44" s="23">
        <v>1191</v>
      </c>
      <c r="H44" s="23">
        <v>1192</v>
      </c>
      <c r="I44" s="23">
        <v>1195</v>
      </c>
      <c r="J44" s="23">
        <v>1197</v>
      </c>
      <c r="K44" s="23">
        <v>1204</v>
      </c>
      <c r="L44" s="23">
        <v>1208</v>
      </c>
      <c r="M44" s="23">
        <v>1211</v>
      </c>
      <c r="N44" s="23">
        <v>1215</v>
      </c>
      <c r="O44" s="23">
        <v>1216</v>
      </c>
      <c r="P44" s="24">
        <v>4.2256541122878133E-3</v>
      </c>
      <c r="Q44" s="71">
        <f t="shared" si="1"/>
        <v>15545</v>
      </c>
    </row>
    <row r="45" spans="1:17" ht="13.15" x14ac:dyDescent="0.25">
      <c r="A45" s="25"/>
      <c r="B45" s="26" t="s">
        <v>71</v>
      </c>
      <c r="C45" s="23">
        <v>2110</v>
      </c>
      <c r="D45" s="23">
        <v>5001</v>
      </c>
      <c r="E45" s="23">
        <v>5001</v>
      </c>
      <c r="F45" s="23">
        <v>5001</v>
      </c>
      <c r="G45" s="23">
        <v>5001</v>
      </c>
      <c r="H45" s="23">
        <v>5001</v>
      </c>
      <c r="I45" s="23">
        <v>5001</v>
      </c>
      <c r="J45" s="23">
        <v>5001</v>
      </c>
      <c r="K45" s="23">
        <v>5001</v>
      </c>
      <c r="L45" s="23">
        <v>5001</v>
      </c>
      <c r="M45" s="23">
        <v>5001</v>
      </c>
      <c r="N45" s="23">
        <v>5001</v>
      </c>
      <c r="O45" s="23">
        <v>5001</v>
      </c>
      <c r="P45" s="24">
        <v>7.4561310905344902E-2</v>
      </c>
      <c r="Q45" s="71">
        <f t="shared" si="1"/>
        <v>62122</v>
      </c>
    </row>
    <row r="46" spans="1:17" ht="13.15" x14ac:dyDescent="0.25">
      <c r="A46" s="25"/>
      <c r="B46" s="26" t="s">
        <v>72</v>
      </c>
      <c r="C46" s="23">
        <v>2400</v>
      </c>
      <c r="D46" s="23">
        <v>2454</v>
      </c>
      <c r="E46" s="23">
        <v>2468</v>
      </c>
      <c r="F46" s="23">
        <v>2468</v>
      </c>
      <c r="G46" s="23">
        <v>2472</v>
      </c>
      <c r="H46" s="23">
        <v>2474</v>
      </c>
      <c r="I46" s="23">
        <v>2480</v>
      </c>
      <c r="J46" s="23">
        <v>2485</v>
      </c>
      <c r="K46" s="23">
        <v>2500</v>
      </c>
      <c r="L46" s="23">
        <v>2507</v>
      </c>
      <c r="M46" s="23">
        <v>2513</v>
      </c>
      <c r="N46" s="23">
        <v>2521</v>
      </c>
      <c r="O46" s="23">
        <v>2524</v>
      </c>
      <c r="P46" s="24">
        <v>4.2068412950906353E-3</v>
      </c>
      <c r="Q46" s="71">
        <f t="shared" si="1"/>
        <v>32266</v>
      </c>
    </row>
    <row r="47" spans="1:17" ht="13.15" x14ac:dyDescent="0.25">
      <c r="A47" s="25"/>
      <c r="B47" s="26" t="s">
        <v>73</v>
      </c>
      <c r="C47" s="23">
        <v>153</v>
      </c>
      <c r="D47" s="23">
        <v>156</v>
      </c>
      <c r="E47" s="23">
        <v>157</v>
      </c>
      <c r="F47" s="23">
        <v>157</v>
      </c>
      <c r="G47" s="23">
        <v>158</v>
      </c>
      <c r="H47" s="23">
        <v>158</v>
      </c>
      <c r="I47" s="23">
        <v>158</v>
      </c>
      <c r="J47" s="23">
        <v>158</v>
      </c>
      <c r="K47" s="23">
        <v>159</v>
      </c>
      <c r="L47" s="23">
        <v>160</v>
      </c>
      <c r="M47" s="23">
        <v>160</v>
      </c>
      <c r="N47" s="23">
        <v>161</v>
      </c>
      <c r="O47" s="23">
        <v>161</v>
      </c>
      <c r="P47" s="24">
        <v>4.2562357846200882E-3</v>
      </c>
      <c r="Q47" s="71">
        <f t="shared" si="1"/>
        <v>2056</v>
      </c>
    </row>
    <row r="48" spans="1:17" ht="13.15" x14ac:dyDescent="0.25">
      <c r="A48" s="25"/>
      <c r="B48" s="26" t="s">
        <v>74</v>
      </c>
      <c r="C48" s="23">
        <v>75723</v>
      </c>
      <c r="D48" s="23">
        <v>74458</v>
      </c>
      <c r="E48" s="23">
        <v>74529</v>
      </c>
      <c r="F48" s="23">
        <v>74530</v>
      </c>
      <c r="G48" s="23">
        <v>74675</v>
      </c>
      <c r="H48" s="23">
        <v>74764</v>
      </c>
      <c r="I48" s="23">
        <v>74981</v>
      </c>
      <c r="J48" s="23">
        <v>75146</v>
      </c>
      <c r="K48" s="23">
        <v>75696</v>
      </c>
      <c r="L48" s="23">
        <v>75990</v>
      </c>
      <c r="M48" s="23">
        <v>76187</v>
      </c>
      <c r="N48" s="23">
        <v>76496</v>
      </c>
      <c r="O48" s="23">
        <v>76575</v>
      </c>
      <c r="P48" s="24">
        <v>9.32827105422529E-4</v>
      </c>
      <c r="Q48" s="71">
        <f t="shared" si="1"/>
        <v>979750</v>
      </c>
    </row>
    <row r="49" spans="1:17" ht="13.15" x14ac:dyDescent="0.25">
      <c r="A49" s="25"/>
      <c r="B49" s="26" t="s">
        <v>75</v>
      </c>
      <c r="C49" s="23">
        <v>11469</v>
      </c>
      <c r="D49" s="23">
        <v>11710</v>
      </c>
      <c r="E49" s="23">
        <v>11710</v>
      </c>
      <c r="F49" s="23">
        <v>11710</v>
      </c>
      <c r="G49" s="23">
        <v>11710</v>
      </c>
      <c r="H49" s="23">
        <v>11710</v>
      </c>
      <c r="I49" s="23">
        <v>11710</v>
      </c>
      <c r="J49" s="23">
        <v>11710</v>
      </c>
      <c r="K49" s="23">
        <v>11710</v>
      </c>
      <c r="L49" s="23">
        <v>11710</v>
      </c>
      <c r="M49" s="23">
        <v>11710</v>
      </c>
      <c r="N49" s="23">
        <v>11710</v>
      </c>
      <c r="O49" s="23">
        <v>11710</v>
      </c>
      <c r="P49" s="24">
        <v>1.7344552828191251E-3</v>
      </c>
      <c r="Q49" s="71">
        <f t="shared" si="1"/>
        <v>151989</v>
      </c>
    </row>
    <row r="50" spans="1:17" ht="13.15" x14ac:dyDescent="0.25">
      <c r="A50" s="25"/>
      <c r="B50" s="26" t="s">
        <v>158</v>
      </c>
      <c r="C50" s="23">
        <v>0</v>
      </c>
      <c r="D50" s="23">
        <v>128</v>
      </c>
      <c r="E50" s="23">
        <v>576</v>
      </c>
      <c r="F50" s="23">
        <v>580</v>
      </c>
      <c r="G50" s="23">
        <v>583</v>
      </c>
      <c r="H50" s="23">
        <v>587</v>
      </c>
      <c r="I50" s="23">
        <v>590</v>
      </c>
      <c r="J50" s="23">
        <v>594</v>
      </c>
      <c r="K50" s="23">
        <v>597</v>
      </c>
      <c r="L50" s="23">
        <v>601</v>
      </c>
      <c r="M50" s="23">
        <v>604</v>
      </c>
      <c r="N50" s="23">
        <v>609</v>
      </c>
      <c r="O50" s="23">
        <v>612</v>
      </c>
      <c r="P50" s="75" t="s">
        <v>159</v>
      </c>
      <c r="Q50" s="71">
        <f t="shared" si="1"/>
        <v>6661</v>
      </c>
    </row>
    <row r="51" spans="1:17" ht="13.15" x14ac:dyDescent="0.25">
      <c r="A51" s="25"/>
      <c r="B51" s="26" t="s">
        <v>76</v>
      </c>
      <c r="C51" s="23">
        <v>77</v>
      </c>
      <c r="D51" s="23">
        <v>79</v>
      </c>
      <c r="E51" s="23">
        <v>79</v>
      </c>
      <c r="F51" s="23">
        <v>79</v>
      </c>
      <c r="G51" s="23">
        <v>79</v>
      </c>
      <c r="H51" s="23">
        <v>79</v>
      </c>
      <c r="I51" s="23">
        <v>80</v>
      </c>
      <c r="J51" s="23">
        <v>80</v>
      </c>
      <c r="K51" s="23">
        <v>80</v>
      </c>
      <c r="L51" s="23">
        <v>80</v>
      </c>
      <c r="M51" s="23">
        <v>81</v>
      </c>
      <c r="N51" s="23">
        <v>81</v>
      </c>
      <c r="O51" s="23">
        <v>81</v>
      </c>
      <c r="P51" s="24">
        <v>4.2292291222263412E-3</v>
      </c>
      <c r="Q51" s="71">
        <f t="shared" si="1"/>
        <v>1035</v>
      </c>
    </row>
    <row r="52" spans="1:17" ht="13.15" x14ac:dyDescent="0.25">
      <c r="A52" s="22" t="s">
        <v>77</v>
      </c>
      <c r="B52" s="28"/>
      <c r="C52" s="23">
        <v>100036</v>
      </c>
      <c r="D52" s="23">
        <v>102269</v>
      </c>
      <c r="E52" s="23">
        <v>102850</v>
      </c>
      <c r="F52" s="23">
        <v>102856</v>
      </c>
      <c r="G52" s="23">
        <v>103022</v>
      </c>
      <c r="H52" s="23">
        <v>103125</v>
      </c>
      <c r="I52" s="23">
        <v>103374</v>
      </c>
      <c r="J52" s="23">
        <v>103563</v>
      </c>
      <c r="K52" s="23">
        <v>104182</v>
      </c>
      <c r="L52" s="23">
        <v>104514</v>
      </c>
      <c r="M52" s="23">
        <v>104740</v>
      </c>
      <c r="N52" s="23">
        <v>105091</v>
      </c>
      <c r="O52" s="23">
        <v>105182</v>
      </c>
      <c r="P52" s="24">
        <v>4.1889209214343026E-3</v>
      </c>
      <c r="Q52" s="71">
        <f t="shared" si="1"/>
        <v>1344804</v>
      </c>
    </row>
    <row r="53" spans="1:17" ht="13.15" x14ac:dyDescent="0.25">
      <c r="A53" s="22" t="s">
        <v>78</v>
      </c>
      <c r="B53" s="29" t="s">
        <v>79</v>
      </c>
      <c r="C53" s="23">
        <v>16653</v>
      </c>
      <c r="D53" s="23">
        <v>16583</v>
      </c>
      <c r="E53" s="23">
        <v>16460</v>
      </c>
      <c r="F53" s="23">
        <v>16570</v>
      </c>
      <c r="G53" s="23">
        <v>16598</v>
      </c>
      <c r="H53" s="23">
        <v>16645</v>
      </c>
      <c r="I53" s="23">
        <v>16684</v>
      </c>
      <c r="J53" s="23">
        <v>16763</v>
      </c>
      <c r="K53" s="23">
        <v>16913</v>
      </c>
      <c r="L53" s="23">
        <v>16984</v>
      </c>
      <c r="M53" s="23">
        <v>17057</v>
      </c>
      <c r="N53" s="23">
        <v>17123</v>
      </c>
      <c r="O53" s="23">
        <v>17189</v>
      </c>
      <c r="P53" s="24">
        <v>2.643426370667612E-3</v>
      </c>
      <c r="Q53" s="71">
        <f t="shared" si="1"/>
        <v>218222</v>
      </c>
    </row>
    <row r="54" spans="1:17" ht="13.15" x14ac:dyDescent="0.25">
      <c r="A54" s="30"/>
      <c r="B54" s="26" t="s">
        <v>80</v>
      </c>
      <c r="C54" s="23">
        <v>3463</v>
      </c>
      <c r="D54" s="23">
        <v>3448</v>
      </c>
      <c r="E54" s="23">
        <v>3423</v>
      </c>
      <c r="F54" s="23">
        <v>3445</v>
      </c>
      <c r="G54" s="23">
        <v>3451</v>
      </c>
      <c r="H54" s="23">
        <v>3461</v>
      </c>
      <c r="I54" s="23">
        <v>3469</v>
      </c>
      <c r="J54" s="23">
        <v>3486</v>
      </c>
      <c r="K54" s="23">
        <v>3517</v>
      </c>
      <c r="L54" s="23">
        <v>3532</v>
      </c>
      <c r="M54" s="23">
        <v>3547</v>
      </c>
      <c r="N54" s="23">
        <v>3560</v>
      </c>
      <c r="O54" s="23">
        <v>3562</v>
      </c>
      <c r="P54" s="24">
        <v>2.3516708041575463E-3</v>
      </c>
      <c r="Q54" s="71">
        <f t="shared" si="1"/>
        <v>45364</v>
      </c>
    </row>
    <row r="55" spans="1:17" ht="12.75" x14ac:dyDescent="0.2">
      <c r="A55" s="22" t="s">
        <v>81</v>
      </c>
      <c r="B55" s="28"/>
      <c r="C55" s="23">
        <v>20116</v>
      </c>
      <c r="D55" s="23">
        <v>20031</v>
      </c>
      <c r="E55" s="23">
        <v>19883</v>
      </c>
      <c r="F55" s="23">
        <v>20015</v>
      </c>
      <c r="G55" s="23">
        <v>20049</v>
      </c>
      <c r="H55" s="23">
        <v>20106</v>
      </c>
      <c r="I55" s="23">
        <v>20153</v>
      </c>
      <c r="J55" s="23">
        <v>20249</v>
      </c>
      <c r="K55" s="23">
        <v>20430</v>
      </c>
      <c r="L55" s="23">
        <v>20516</v>
      </c>
      <c r="M55" s="23">
        <v>20604</v>
      </c>
      <c r="N55" s="23">
        <v>20683</v>
      </c>
      <c r="O55" s="23">
        <v>20751</v>
      </c>
      <c r="P55" s="24">
        <v>2.5932667122059438E-3</v>
      </c>
      <c r="Q55" s="71">
        <f t="shared" si="1"/>
        <v>263586</v>
      </c>
    </row>
    <row r="56" spans="1:17" ht="12.75" x14ac:dyDescent="0.2">
      <c r="A56" s="22" t="s">
        <v>82</v>
      </c>
      <c r="B56" s="29" t="s">
        <v>83</v>
      </c>
      <c r="C56" s="23">
        <v>768</v>
      </c>
      <c r="D56" s="23">
        <v>779</v>
      </c>
      <c r="E56" s="23">
        <v>786</v>
      </c>
      <c r="F56" s="23">
        <v>795</v>
      </c>
      <c r="G56" s="23">
        <v>802</v>
      </c>
      <c r="H56" s="23">
        <v>810</v>
      </c>
      <c r="I56" s="23">
        <v>818</v>
      </c>
      <c r="J56" s="23">
        <v>827</v>
      </c>
      <c r="K56" s="23">
        <v>837</v>
      </c>
      <c r="L56" s="23">
        <v>846</v>
      </c>
      <c r="M56" s="23">
        <v>855</v>
      </c>
      <c r="N56" s="23">
        <v>864</v>
      </c>
      <c r="O56" s="23">
        <v>872</v>
      </c>
      <c r="P56" s="24">
        <v>1.063950885312992E-2</v>
      </c>
      <c r="Q56" s="71">
        <f t="shared" si="1"/>
        <v>10659</v>
      </c>
    </row>
    <row r="57" spans="1:17" ht="12.75" x14ac:dyDescent="0.2">
      <c r="A57" s="26"/>
      <c r="B57" s="26" t="s">
        <v>84</v>
      </c>
      <c r="C57" s="23">
        <v>1222</v>
      </c>
      <c r="D57" s="23">
        <v>1239</v>
      </c>
      <c r="E57" s="23">
        <v>1251</v>
      </c>
      <c r="F57" s="23">
        <v>1265</v>
      </c>
      <c r="G57" s="23">
        <v>1276</v>
      </c>
      <c r="H57" s="23">
        <v>1289</v>
      </c>
      <c r="I57" s="23">
        <v>1302</v>
      </c>
      <c r="J57" s="23">
        <v>1316</v>
      </c>
      <c r="K57" s="23">
        <v>1331</v>
      </c>
      <c r="L57" s="23">
        <v>1346</v>
      </c>
      <c r="M57" s="23">
        <v>1361</v>
      </c>
      <c r="N57" s="23">
        <v>1374</v>
      </c>
      <c r="O57" s="23">
        <v>1387</v>
      </c>
      <c r="P57" s="24">
        <v>1.0610418840742764E-2</v>
      </c>
      <c r="Q57" s="71">
        <f t="shared" si="1"/>
        <v>16959</v>
      </c>
    </row>
    <row r="58" spans="1:17" ht="12.75" x14ac:dyDescent="0.2">
      <c r="A58" s="25"/>
      <c r="B58" s="26" t="s">
        <v>85</v>
      </c>
      <c r="C58" s="23">
        <v>182</v>
      </c>
      <c r="D58" s="23">
        <v>184</v>
      </c>
      <c r="E58" s="23">
        <v>186</v>
      </c>
      <c r="F58" s="23">
        <v>188</v>
      </c>
      <c r="G58" s="23">
        <v>189</v>
      </c>
      <c r="H58" s="23">
        <v>191</v>
      </c>
      <c r="I58" s="23">
        <v>193</v>
      </c>
      <c r="J58" s="23">
        <v>195</v>
      </c>
      <c r="K58" s="23">
        <v>198</v>
      </c>
      <c r="L58" s="23">
        <v>200</v>
      </c>
      <c r="M58" s="23">
        <v>202</v>
      </c>
      <c r="N58" s="23">
        <v>204</v>
      </c>
      <c r="O58" s="23">
        <v>206</v>
      </c>
      <c r="P58" s="24">
        <v>1.0375917155720504E-2</v>
      </c>
      <c r="Q58" s="71">
        <f t="shared" si="1"/>
        <v>2518</v>
      </c>
    </row>
    <row r="59" spans="1:17" ht="12.75" x14ac:dyDescent="0.2">
      <c r="A59" s="25"/>
      <c r="B59" s="26" t="s">
        <v>86</v>
      </c>
      <c r="C59" s="23">
        <v>490</v>
      </c>
      <c r="D59" s="23">
        <v>499</v>
      </c>
      <c r="E59" s="23">
        <v>504</v>
      </c>
      <c r="F59" s="23">
        <v>510</v>
      </c>
      <c r="G59" s="23">
        <v>514</v>
      </c>
      <c r="H59" s="23">
        <v>519</v>
      </c>
      <c r="I59" s="23">
        <v>523</v>
      </c>
      <c r="J59" s="23">
        <v>529</v>
      </c>
      <c r="K59" s="23">
        <v>534</v>
      </c>
      <c r="L59" s="23">
        <v>540</v>
      </c>
      <c r="M59" s="23">
        <v>546</v>
      </c>
      <c r="N59" s="23">
        <v>551</v>
      </c>
      <c r="O59" s="23">
        <v>557</v>
      </c>
      <c r="P59" s="24">
        <v>1.0737222040940297E-2</v>
      </c>
      <c r="Q59" s="71">
        <f t="shared" si="1"/>
        <v>6816</v>
      </c>
    </row>
    <row r="60" spans="1:17" ht="12.75" x14ac:dyDescent="0.2">
      <c r="A60" s="25"/>
      <c r="B60" s="26" t="s">
        <v>0</v>
      </c>
      <c r="C60" s="23">
        <v>2561</v>
      </c>
      <c r="D60" s="23">
        <v>2595</v>
      </c>
      <c r="E60" s="23">
        <v>2621</v>
      </c>
      <c r="F60" s="23">
        <v>2650</v>
      </c>
      <c r="G60" s="23">
        <v>2673</v>
      </c>
      <c r="H60" s="23">
        <v>2699</v>
      </c>
      <c r="I60" s="23">
        <v>2728</v>
      </c>
      <c r="J60" s="23">
        <v>2757</v>
      </c>
      <c r="K60" s="23">
        <v>2789</v>
      </c>
      <c r="L60" s="23">
        <v>2820</v>
      </c>
      <c r="M60" s="23">
        <v>2851</v>
      </c>
      <c r="N60" s="23">
        <v>2879</v>
      </c>
      <c r="O60" s="23">
        <v>2906</v>
      </c>
      <c r="P60" s="24">
        <v>1.0587299484116963E-2</v>
      </c>
      <c r="Q60" s="71">
        <f t="shared" si="1"/>
        <v>35529</v>
      </c>
    </row>
    <row r="61" spans="1:17" ht="12.75" x14ac:dyDescent="0.2">
      <c r="A61" s="25"/>
      <c r="B61" s="26" t="s">
        <v>87</v>
      </c>
      <c r="C61" s="23">
        <v>10573</v>
      </c>
      <c r="D61" s="23">
        <v>10781</v>
      </c>
      <c r="E61" s="23">
        <v>10941</v>
      </c>
      <c r="F61" s="23">
        <v>11116</v>
      </c>
      <c r="G61" s="23">
        <v>11230</v>
      </c>
      <c r="H61" s="23">
        <v>11344</v>
      </c>
      <c r="I61" s="23">
        <v>11448</v>
      </c>
      <c r="J61" s="23">
        <v>11542</v>
      </c>
      <c r="K61" s="23">
        <v>11643</v>
      </c>
      <c r="L61" s="23">
        <v>11740</v>
      </c>
      <c r="M61" s="23">
        <v>11839</v>
      </c>
      <c r="N61" s="23">
        <v>11929</v>
      </c>
      <c r="O61" s="23">
        <v>12016</v>
      </c>
      <c r="P61" s="24">
        <v>1.0718326859906258E-2</v>
      </c>
      <c r="Q61" s="71">
        <f t="shared" si="1"/>
        <v>148142</v>
      </c>
    </row>
    <row r="62" spans="1:17" ht="12.75" x14ac:dyDescent="0.2">
      <c r="A62" s="76"/>
      <c r="B62" s="26" t="s">
        <v>33</v>
      </c>
      <c r="C62" s="23">
        <v>1969</v>
      </c>
      <c r="D62" s="23">
        <v>2006</v>
      </c>
      <c r="E62" s="23">
        <v>2024</v>
      </c>
      <c r="F62" s="23">
        <v>2047</v>
      </c>
      <c r="G62" s="23">
        <v>2065</v>
      </c>
      <c r="H62" s="23">
        <v>2082</v>
      </c>
      <c r="I62" s="23">
        <v>2102</v>
      </c>
      <c r="J62" s="23">
        <v>2123</v>
      </c>
      <c r="K62" s="23">
        <v>2146</v>
      </c>
      <c r="L62" s="23">
        <v>2170</v>
      </c>
      <c r="M62" s="23">
        <v>2193</v>
      </c>
      <c r="N62" s="23">
        <v>2214</v>
      </c>
      <c r="O62" s="23">
        <v>2237</v>
      </c>
      <c r="P62" s="24">
        <v>1.0690900512554613E-2</v>
      </c>
      <c r="Q62" s="71">
        <f t="shared" si="1"/>
        <v>27378</v>
      </c>
    </row>
    <row r="63" spans="1:17" ht="12.75" x14ac:dyDescent="0.2">
      <c r="A63" s="25"/>
      <c r="B63" s="26" t="s">
        <v>88</v>
      </c>
      <c r="C63" s="23">
        <v>430</v>
      </c>
      <c r="D63" s="23">
        <v>436</v>
      </c>
      <c r="E63" s="23">
        <v>440</v>
      </c>
      <c r="F63" s="23">
        <v>445</v>
      </c>
      <c r="G63" s="23">
        <v>449</v>
      </c>
      <c r="H63" s="23">
        <v>454</v>
      </c>
      <c r="I63" s="23">
        <v>458</v>
      </c>
      <c r="J63" s="23">
        <v>463</v>
      </c>
      <c r="K63" s="23">
        <v>469</v>
      </c>
      <c r="L63" s="23">
        <v>474</v>
      </c>
      <c r="M63" s="23">
        <v>479</v>
      </c>
      <c r="N63" s="23">
        <v>484</v>
      </c>
      <c r="O63" s="23">
        <v>488</v>
      </c>
      <c r="P63" s="24">
        <v>1.0599968895204981E-2</v>
      </c>
      <c r="Q63" s="71">
        <f t="shared" si="1"/>
        <v>5969</v>
      </c>
    </row>
    <row r="64" spans="1:17" ht="12.75" x14ac:dyDescent="0.2">
      <c r="A64" s="22" t="s">
        <v>89</v>
      </c>
      <c r="B64" s="28"/>
      <c r="C64" s="23">
        <v>18195</v>
      </c>
      <c r="D64" s="23">
        <v>18519</v>
      </c>
      <c r="E64" s="23">
        <v>18753</v>
      </c>
      <c r="F64" s="23">
        <v>19016</v>
      </c>
      <c r="G64" s="23">
        <v>19198</v>
      </c>
      <c r="H64" s="23">
        <v>19388</v>
      </c>
      <c r="I64" s="23">
        <v>19572</v>
      </c>
      <c r="J64" s="23">
        <v>19752</v>
      </c>
      <c r="K64" s="23">
        <v>19947</v>
      </c>
      <c r="L64" s="23">
        <v>20136</v>
      </c>
      <c r="M64" s="23">
        <v>20326</v>
      </c>
      <c r="N64" s="23">
        <v>20499</v>
      </c>
      <c r="O64" s="23">
        <v>20669</v>
      </c>
      <c r="P64" s="24">
        <v>1.0680648732118048E-2</v>
      </c>
      <c r="Q64" s="71">
        <f t="shared" si="1"/>
        <v>253970</v>
      </c>
    </row>
    <row r="65" spans="1:17" ht="12.75" x14ac:dyDescent="0.2">
      <c r="A65" s="22" t="s">
        <v>7</v>
      </c>
      <c r="B65" s="22" t="s">
        <v>90</v>
      </c>
      <c r="C65" s="23">
        <v>23455</v>
      </c>
      <c r="D65" s="23">
        <v>23081</v>
      </c>
      <c r="E65" s="23">
        <v>23134</v>
      </c>
      <c r="F65" s="23">
        <v>23230</v>
      </c>
      <c r="G65" s="23">
        <v>23285</v>
      </c>
      <c r="H65" s="23">
        <v>23428</v>
      </c>
      <c r="I65" s="23">
        <v>23629</v>
      </c>
      <c r="J65" s="23">
        <v>23827</v>
      </c>
      <c r="K65" s="23">
        <v>24048</v>
      </c>
      <c r="L65" s="23">
        <v>24246</v>
      </c>
      <c r="M65" s="23">
        <v>24468</v>
      </c>
      <c r="N65" s="23">
        <v>24685</v>
      </c>
      <c r="O65" s="23">
        <v>24914</v>
      </c>
      <c r="P65" s="24">
        <v>5.0415161136299069E-3</v>
      </c>
      <c r="Q65" s="71">
        <f t="shared" si="1"/>
        <v>309430</v>
      </c>
    </row>
    <row r="66" spans="1:17" ht="12.75" x14ac:dyDescent="0.2">
      <c r="A66" s="22" t="s">
        <v>91</v>
      </c>
      <c r="B66" s="22" t="s">
        <v>92</v>
      </c>
      <c r="C66" s="23">
        <v>1132</v>
      </c>
      <c r="D66" s="23">
        <v>1115</v>
      </c>
      <c r="E66" s="23">
        <v>1116</v>
      </c>
      <c r="F66" s="23">
        <v>1121</v>
      </c>
      <c r="G66" s="23">
        <v>1126</v>
      </c>
      <c r="H66" s="23">
        <v>1130</v>
      </c>
      <c r="I66" s="23">
        <v>1135</v>
      </c>
      <c r="J66" s="23">
        <v>1141</v>
      </c>
      <c r="K66" s="23">
        <v>1151</v>
      </c>
      <c r="L66" s="23">
        <v>1156</v>
      </c>
      <c r="M66" s="23">
        <v>1160</v>
      </c>
      <c r="N66" s="23">
        <v>1165</v>
      </c>
      <c r="O66" s="23">
        <v>1167</v>
      </c>
      <c r="P66" s="24">
        <v>2.540753384011829E-3</v>
      </c>
      <c r="Q66" s="71">
        <f t="shared" si="1"/>
        <v>14815</v>
      </c>
    </row>
    <row r="67" spans="1:17" ht="12.75" x14ac:dyDescent="0.2">
      <c r="A67" s="25"/>
      <c r="B67" s="26" t="s">
        <v>93</v>
      </c>
      <c r="C67" s="23">
        <v>1112</v>
      </c>
      <c r="D67" s="23">
        <v>1096</v>
      </c>
      <c r="E67" s="23">
        <v>1097</v>
      </c>
      <c r="F67" s="23">
        <v>1102</v>
      </c>
      <c r="G67" s="23">
        <v>1107</v>
      </c>
      <c r="H67" s="23">
        <v>1111</v>
      </c>
      <c r="I67" s="23">
        <v>1115</v>
      </c>
      <c r="J67" s="23">
        <v>1121</v>
      </c>
      <c r="K67" s="23">
        <v>1131</v>
      </c>
      <c r="L67" s="23">
        <v>1136</v>
      </c>
      <c r="M67" s="23">
        <v>1139</v>
      </c>
      <c r="N67" s="23">
        <v>1144</v>
      </c>
      <c r="O67" s="23">
        <v>1146</v>
      </c>
      <c r="P67" s="24">
        <v>2.5129373527543741E-3</v>
      </c>
      <c r="Q67" s="71">
        <f t="shared" si="1"/>
        <v>14557</v>
      </c>
    </row>
    <row r="68" spans="1:17" ht="12.75" x14ac:dyDescent="0.2">
      <c r="A68" s="22" t="s">
        <v>94</v>
      </c>
      <c r="B68" s="28"/>
      <c r="C68" s="23">
        <v>2244</v>
      </c>
      <c r="D68" s="23">
        <v>2211</v>
      </c>
      <c r="E68" s="23">
        <v>2213</v>
      </c>
      <c r="F68" s="23">
        <v>2223</v>
      </c>
      <c r="G68" s="23">
        <v>2233</v>
      </c>
      <c r="H68" s="23">
        <v>2241</v>
      </c>
      <c r="I68" s="23">
        <v>2250</v>
      </c>
      <c r="J68" s="23">
        <v>2262</v>
      </c>
      <c r="K68" s="23">
        <v>2282</v>
      </c>
      <c r="L68" s="23">
        <v>2292</v>
      </c>
      <c r="M68" s="23">
        <v>2299</v>
      </c>
      <c r="N68" s="23">
        <v>2309</v>
      </c>
      <c r="O68" s="23">
        <v>2313</v>
      </c>
      <c r="P68" s="24">
        <v>2.5269703868557869E-3</v>
      </c>
      <c r="Q68" s="71">
        <f t="shared" si="1"/>
        <v>29372</v>
      </c>
    </row>
    <row r="69" spans="1:17" ht="12.75" x14ac:dyDescent="0.2">
      <c r="A69" s="22" t="s">
        <v>95</v>
      </c>
      <c r="B69" s="22" t="s">
        <v>6</v>
      </c>
      <c r="C69" s="23">
        <v>3392</v>
      </c>
      <c r="D69" s="23">
        <v>3369</v>
      </c>
      <c r="E69" s="23">
        <v>3433</v>
      </c>
      <c r="F69" s="23">
        <v>3478</v>
      </c>
      <c r="G69" s="23">
        <v>3521</v>
      </c>
      <c r="H69" s="23">
        <v>3570</v>
      </c>
      <c r="I69" s="23">
        <v>3625</v>
      </c>
      <c r="J69" s="23">
        <v>3682</v>
      </c>
      <c r="K69" s="23">
        <v>3751</v>
      </c>
      <c r="L69" s="23">
        <v>3815</v>
      </c>
      <c r="M69" s="23">
        <v>3877</v>
      </c>
      <c r="N69" s="23">
        <v>3941</v>
      </c>
      <c r="O69" s="23">
        <v>3997</v>
      </c>
      <c r="P69" s="24">
        <v>1.3770988595654288E-2</v>
      </c>
      <c r="Q69" s="71">
        <f t="shared" si="1"/>
        <v>47451</v>
      </c>
    </row>
    <row r="70" spans="1:17" ht="12.75" x14ac:dyDescent="0.2">
      <c r="A70" s="22" t="s">
        <v>96</v>
      </c>
      <c r="B70" s="77" t="s">
        <v>30</v>
      </c>
      <c r="C70" s="23">
        <v>11</v>
      </c>
      <c r="D70" s="23">
        <v>10</v>
      </c>
      <c r="E70" s="23">
        <v>11</v>
      </c>
      <c r="F70" s="23">
        <v>11</v>
      </c>
      <c r="G70" s="23">
        <v>11</v>
      </c>
      <c r="H70" s="23">
        <v>11</v>
      </c>
      <c r="I70" s="23">
        <v>11</v>
      </c>
      <c r="J70" s="23">
        <v>11</v>
      </c>
      <c r="K70" s="23">
        <v>11</v>
      </c>
      <c r="L70" s="23">
        <v>12</v>
      </c>
      <c r="M70" s="23">
        <v>12</v>
      </c>
      <c r="N70" s="23">
        <v>12</v>
      </c>
      <c r="O70" s="23">
        <v>12</v>
      </c>
      <c r="P70" s="24">
        <v>7.2772998598020777E-3</v>
      </c>
      <c r="Q70" s="71">
        <f t="shared" si="1"/>
        <v>146</v>
      </c>
    </row>
    <row r="71" spans="1:17" ht="12.75" x14ac:dyDescent="0.2">
      <c r="A71" s="22" t="s">
        <v>97</v>
      </c>
      <c r="B71" s="26" t="s">
        <v>98</v>
      </c>
      <c r="C71" s="23">
        <v>6</v>
      </c>
      <c r="D71" s="23">
        <v>6</v>
      </c>
      <c r="E71" s="23">
        <v>6</v>
      </c>
      <c r="F71" s="23">
        <v>6</v>
      </c>
      <c r="G71" s="23">
        <v>6</v>
      </c>
      <c r="H71" s="23">
        <v>6</v>
      </c>
      <c r="I71" s="23">
        <v>7</v>
      </c>
      <c r="J71" s="23">
        <v>7</v>
      </c>
      <c r="K71" s="23">
        <v>7</v>
      </c>
      <c r="L71" s="23">
        <v>7</v>
      </c>
      <c r="M71" s="23">
        <v>7</v>
      </c>
      <c r="N71" s="23">
        <v>7</v>
      </c>
      <c r="O71" s="23">
        <v>7</v>
      </c>
      <c r="P71" s="24">
        <v>1.2928752866029347E-2</v>
      </c>
      <c r="Q71" s="71">
        <f t="shared" si="1"/>
        <v>85</v>
      </c>
    </row>
    <row r="72" spans="1:17" ht="12.75" x14ac:dyDescent="0.2">
      <c r="A72" s="25"/>
      <c r="B72" s="26" t="s">
        <v>160</v>
      </c>
      <c r="C72" s="23">
        <v>533</v>
      </c>
      <c r="D72" s="23">
        <v>537</v>
      </c>
      <c r="E72" s="23">
        <v>537</v>
      </c>
      <c r="F72" s="23">
        <v>542</v>
      </c>
      <c r="G72" s="23">
        <v>547</v>
      </c>
      <c r="H72" s="23">
        <v>551</v>
      </c>
      <c r="I72" s="23">
        <v>556</v>
      </c>
      <c r="J72" s="23">
        <v>561</v>
      </c>
      <c r="K72" s="23">
        <v>566</v>
      </c>
      <c r="L72" s="23">
        <v>571</v>
      </c>
      <c r="M72" s="23">
        <v>575</v>
      </c>
      <c r="N72" s="23">
        <v>578</v>
      </c>
      <c r="O72" s="23">
        <v>581</v>
      </c>
      <c r="P72" s="24">
        <v>7.2116573759255509E-3</v>
      </c>
      <c r="Q72" s="71">
        <f t="shared" ref="Q72:Q79" si="2">SUM(C72:O72)</f>
        <v>7235</v>
      </c>
    </row>
    <row r="73" spans="1:17" ht="12.75" x14ac:dyDescent="0.2">
      <c r="A73" s="25"/>
      <c r="B73" s="26" t="s">
        <v>20</v>
      </c>
      <c r="C73" s="23">
        <v>52</v>
      </c>
      <c r="D73" s="23">
        <v>53</v>
      </c>
      <c r="E73" s="23">
        <v>53</v>
      </c>
      <c r="F73" s="23">
        <v>53</v>
      </c>
      <c r="G73" s="23">
        <v>54</v>
      </c>
      <c r="H73" s="23">
        <v>54</v>
      </c>
      <c r="I73" s="23">
        <v>55</v>
      </c>
      <c r="J73" s="23">
        <v>55</v>
      </c>
      <c r="K73" s="23">
        <v>56</v>
      </c>
      <c r="L73" s="23">
        <v>56</v>
      </c>
      <c r="M73" s="23">
        <v>57</v>
      </c>
      <c r="N73" s="23">
        <v>57</v>
      </c>
      <c r="O73" s="23">
        <v>57</v>
      </c>
      <c r="P73" s="24">
        <v>7.6799699448402148E-3</v>
      </c>
      <c r="Q73" s="71">
        <f t="shared" si="2"/>
        <v>712</v>
      </c>
    </row>
    <row r="74" spans="1:17" ht="12.75" x14ac:dyDescent="0.2">
      <c r="A74" s="25"/>
      <c r="B74" s="26" t="s">
        <v>5</v>
      </c>
      <c r="C74" s="23">
        <v>754</v>
      </c>
      <c r="D74" s="23">
        <v>760</v>
      </c>
      <c r="E74" s="23">
        <v>760</v>
      </c>
      <c r="F74" s="23">
        <v>766</v>
      </c>
      <c r="G74" s="23">
        <v>773</v>
      </c>
      <c r="H74" s="23">
        <v>779</v>
      </c>
      <c r="I74" s="23">
        <v>786</v>
      </c>
      <c r="J74" s="23">
        <v>794</v>
      </c>
      <c r="K74" s="23">
        <v>801</v>
      </c>
      <c r="L74" s="23">
        <v>807</v>
      </c>
      <c r="M74" s="23">
        <v>813</v>
      </c>
      <c r="N74" s="23">
        <v>818</v>
      </c>
      <c r="O74" s="23">
        <v>822</v>
      </c>
      <c r="P74" s="24">
        <v>7.2216199539654191E-3</v>
      </c>
      <c r="Q74" s="71">
        <f t="shared" si="2"/>
        <v>10233</v>
      </c>
    </row>
    <row r="75" spans="1:17" ht="12.75" x14ac:dyDescent="0.2">
      <c r="A75" s="25"/>
      <c r="B75" s="26" t="s">
        <v>99</v>
      </c>
      <c r="C75" s="23">
        <v>109</v>
      </c>
      <c r="D75" s="23">
        <v>110</v>
      </c>
      <c r="E75" s="23">
        <v>110</v>
      </c>
      <c r="F75" s="23">
        <v>111</v>
      </c>
      <c r="G75" s="23">
        <v>112</v>
      </c>
      <c r="H75" s="23">
        <v>113</v>
      </c>
      <c r="I75" s="23">
        <v>114</v>
      </c>
      <c r="J75" s="23">
        <v>115</v>
      </c>
      <c r="K75" s="23">
        <v>116</v>
      </c>
      <c r="L75" s="23">
        <v>117</v>
      </c>
      <c r="M75" s="23">
        <v>118</v>
      </c>
      <c r="N75" s="23">
        <v>119</v>
      </c>
      <c r="O75" s="23">
        <v>119</v>
      </c>
      <c r="P75" s="24">
        <v>7.3414515235632472E-3</v>
      </c>
      <c r="Q75" s="71">
        <f t="shared" si="2"/>
        <v>1483</v>
      </c>
    </row>
    <row r="76" spans="1:17" ht="12.75" x14ac:dyDescent="0.2">
      <c r="A76" s="25"/>
      <c r="B76" s="26" t="s">
        <v>100</v>
      </c>
      <c r="C76" s="23">
        <v>142</v>
      </c>
      <c r="D76" s="23">
        <v>143</v>
      </c>
      <c r="E76" s="23">
        <v>143</v>
      </c>
      <c r="F76" s="23">
        <v>144</v>
      </c>
      <c r="G76" s="23">
        <v>146</v>
      </c>
      <c r="H76" s="23">
        <v>147</v>
      </c>
      <c r="I76" s="23">
        <v>148</v>
      </c>
      <c r="J76" s="23">
        <v>150</v>
      </c>
      <c r="K76" s="23">
        <v>151</v>
      </c>
      <c r="L76" s="23">
        <v>152</v>
      </c>
      <c r="M76" s="23">
        <v>153</v>
      </c>
      <c r="N76" s="23">
        <v>154</v>
      </c>
      <c r="O76" s="23">
        <v>155</v>
      </c>
      <c r="P76" s="24">
        <v>7.3265470462764437E-3</v>
      </c>
      <c r="Q76" s="71">
        <f t="shared" si="2"/>
        <v>1928</v>
      </c>
    </row>
    <row r="77" spans="1:17" ht="12.75" x14ac:dyDescent="0.2">
      <c r="A77" s="22" t="s">
        <v>101</v>
      </c>
      <c r="B77" s="28"/>
      <c r="C77" s="23">
        <v>1596</v>
      </c>
      <c r="D77" s="23">
        <v>1609</v>
      </c>
      <c r="E77" s="23">
        <v>1609</v>
      </c>
      <c r="F77" s="23">
        <v>1622</v>
      </c>
      <c r="G77" s="23">
        <v>1638</v>
      </c>
      <c r="H77" s="23">
        <v>1650</v>
      </c>
      <c r="I77" s="23">
        <v>1666</v>
      </c>
      <c r="J77" s="23">
        <v>1682</v>
      </c>
      <c r="K77" s="23">
        <v>1697</v>
      </c>
      <c r="L77" s="23">
        <v>1710</v>
      </c>
      <c r="M77" s="23">
        <v>1723</v>
      </c>
      <c r="N77" s="23">
        <v>1733</v>
      </c>
      <c r="O77" s="23">
        <v>1741</v>
      </c>
      <c r="P77" s="24">
        <v>7.2729169345804312E-3</v>
      </c>
      <c r="Q77" s="71">
        <f t="shared" si="2"/>
        <v>21676</v>
      </c>
    </row>
    <row r="78" spans="1:17" ht="12.75" x14ac:dyDescent="0.2">
      <c r="A78" s="22" t="s">
        <v>102</v>
      </c>
      <c r="B78" s="28"/>
      <c r="C78" s="23">
        <v>264619</v>
      </c>
      <c r="D78" s="23">
        <v>266718</v>
      </c>
      <c r="E78" s="23">
        <v>267268</v>
      </c>
      <c r="F78" s="23">
        <v>268387</v>
      </c>
      <c r="G78" s="23">
        <v>269391</v>
      </c>
      <c r="H78" s="23">
        <v>270339</v>
      </c>
      <c r="I78" s="23">
        <v>271569</v>
      </c>
      <c r="J78" s="23">
        <v>272889</v>
      </c>
      <c r="K78" s="23">
        <v>274953</v>
      </c>
      <c r="L78" s="23">
        <v>276529</v>
      </c>
      <c r="M78" s="23">
        <v>277790</v>
      </c>
      <c r="N78" s="23">
        <v>279093</v>
      </c>
      <c r="O78" s="23">
        <v>280094</v>
      </c>
      <c r="P78" s="24">
        <v>4.7474172387007574E-3</v>
      </c>
      <c r="Q78" s="71">
        <f t="shared" si="2"/>
        <v>3539639</v>
      </c>
    </row>
    <row r="79" spans="1:17" ht="12.75" x14ac:dyDescent="0.2">
      <c r="A79" s="22" t="s">
        <v>103</v>
      </c>
      <c r="B79" s="28"/>
      <c r="C79" s="23">
        <v>6058</v>
      </c>
      <c r="D79" s="23">
        <v>9783</v>
      </c>
      <c r="E79" s="23">
        <v>9797</v>
      </c>
      <c r="F79" s="23">
        <v>9802</v>
      </c>
      <c r="G79" s="23">
        <v>9810</v>
      </c>
      <c r="H79" s="23">
        <v>9817</v>
      </c>
      <c r="I79" s="23">
        <v>9827</v>
      </c>
      <c r="J79" s="23">
        <v>9837</v>
      </c>
      <c r="K79" s="23">
        <v>9858</v>
      </c>
      <c r="L79" s="23">
        <v>9872</v>
      </c>
      <c r="M79" s="23">
        <v>9882</v>
      </c>
      <c r="N79" s="23">
        <v>9894</v>
      </c>
      <c r="O79" s="23">
        <v>9900</v>
      </c>
      <c r="P79" s="24">
        <v>4.1778748242346841E-2</v>
      </c>
      <c r="Q79" s="71">
        <f t="shared" si="2"/>
        <v>124137</v>
      </c>
    </row>
    <row r="80" spans="1:17" ht="12.75" x14ac:dyDescent="0.2">
      <c r="A80" s="31" t="s">
        <v>104</v>
      </c>
      <c r="B80" s="77"/>
      <c r="C80" s="32">
        <v>258561</v>
      </c>
      <c r="D80" s="32">
        <v>256935</v>
      </c>
      <c r="E80" s="32">
        <v>257471</v>
      </c>
      <c r="F80" s="32">
        <v>258585</v>
      </c>
      <c r="G80" s="32">
        <v>259581</v>
      </c>
      <c r="H80" s="32">
        <v>260522</v>
      </c>
      <c r="I80" s="32">
        <v>261742</v>
      </c>
      <c r="J80" s="32">
        <v>263052</v>
      </c>
      <c r="K80" s="32">
        <v>265095</v>
      </c>
      <c r="L80" s="32">
        <v>266657</v>
      </c>
      <c r="M80" s="32">
        <v>267908</v>
      </c>
      <c r="N80" s="32">
        <v>269199</v>
      </c>
      <c r="O80" s="32">
        <v>270194</v>
      </c>
      <c r="P80" s="33">
        <v>3.6741144553831262E-3</v>
      </c>
      <c r="Q80" s="72">
        <f t="shared" ref="Q80" si="3">SUM(C80:O80)</f>
        <v>3415502</v>
      </c>
    </row>
    <row r="81" spans="1:12" x14ac:dyDescent="0.25">
      <c r="A81" s="34" t="s">
        <v>161</v>
      </c>
      <c r="B81" s="35"/>
      <c r="C81" s="34"/>
      <c r="D81" s="34"/>
      <c r="E81" s="34"/>
      <c r="F81" s="34"/>
      <c r="G81" s="34"/>
      <c r="H81" s="34"/>
      <c r="I81" s="34"/>
      <c r="J81" s="34"/>
      <c r="K81" s="34"/>
      <c r="L81" s="34"/>
    </row>
    <row r="82" spans="1:12" x14ac:dyDescent="0.25">
      <c r="A82" s="36" t="s">
        <v>162</v>
      </c>
      <c r="B82" s="35"/>
    </row>
    <row r="83" spans="1:12" x14ac:dyDescent="0.25">
      <c r="A83" t="s">
        <v>155</v>
      </c>
      <c r="B83" s="35"/>
    </row>
  </sheetData>
  <hyperlinks>
    <hyperlink ref="E5" r:id="rId1"/>
  </hyperlinks>
  <pageMargins left="0.7" right="0.7" top="0.75" bottom="0.75" header="0.3" footer="0.3"/>
  <pageSetup paperSize="17"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defaultRowHeight="15" x14ac:dyDescent="0.25"/>
  <cols>
    <col min="1" max="1" width="37.7109375" customWidth="1"/>
    <col min="2" max="2" width="68.7109375" customWidth="1"/>
  </cols>
  <sheetData>
    <row r="1" spans="1:2" thickBot="1" x14ac:dyDescent="0.35">
      <c r="A1" s="130" t="s">
        <v>86</v>
      </c>
      <c r="B1" s="131" t="s">
        <v>176</v>
      </c>
    </row>
    <row r="2" spans="1:2" ht="60.75" customHeight="1" thickBot="1" x14ac:dyDescent="0.35">
      <c r="A2" s="153" t="s">
        <v>277</v>
      </c>
      <c r="B2" s="154"/>
    </row>
  </sheetData>
  <mergeCells count="1">
    <mergeCell ref="A2:B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defaultRowHeight="15" x14ac:dyDescent="0.25"/>
  <cols>
    <col min="1" max="1" width="37.7109375" customWidth="1"/>
    <col min="2" max="2" width="71.140625" customWidth="1"/>
  </cols>
  <sheetData>
    <row r="1" spans="1:2" s="60" customFormat="1" ht="16.149999999999999" customHeight="1" thickBot="1" x14ac:dyDescent="0.35">
      <c r="A1" s="129" t="s">
        <v>0</v>
      </c>
      <c r="B1" s="131" t="s">
        <v>176</v>
      </c>
    </row>
    <row r="2" spans="1:2" s="60" customFormat="1" ht="64.5" customHeight="1" thickBot="1" x14ac:dyDescent="0.35">
      <c r="A2" s="153" t="s">
        <v>277</v>
      </c>
      <c r="B2" s="154"/>
    </row>
  </sheetData>
  <mergeCells count="1">
    <mergeCell ref="A2:B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heetViews>
  <sheetFormatPr defaultRowHeight="15" x14ac:dyDescent="0.25"/>
  <cols>
    <col min="1" max="1" width="31.7109375" customWidth="1"/>
    <col min="2" max="11" width="11.5703125" bestFit="1" customWidth="1"/>
    <col min="12" max="12" width="48.7109375" style="3" customWidth="1"/>
    <col min="14" max="14" width="7" bestFit="1" customWidth="1"/>
    <col min="15" max="15" width="73.28515625" bestFit="1" customWidth="1"/>
    <col min="17" max="17" width="14.7109375" customWidth="1"/>
  </cols>
  <sheetData>
    <row r="1" spans="1:16" s="60" customFormat="1" ht="15.6" x14ac:dyDescent="0.3">
      <c r="A1" s="103" t="s">
        <v>188</v>
      </c>
      <c r="B1" s="141" t="s">
        <v>176</v>
      </c>
      <c r="C1" s="142"/>
      <c r="D1" s="142"/>
      <c r="E1" s="142"/>
      <c r="F1" s="142"/>
      <c r="G1" s="142"/>
      <c r="H1" s="142"/>
      <c r="I1" s="142"/>
      <c r="J1" s="142"/>
      <c r="K1" s="142"/>
      <c r="L1" s="143"/>
      <c r="N1" s="144" t="s">
        <v>196</v>
      </c>
      <c r="O1" s="145"/>
      <c r="P1" s="62"/>
    </row>
    <row r="2" spans="1:16"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6" s="60" customFormat="1" ht="58.15" x14ac:dyDescent="0.35">
      <c r="A3" s="105" t="s">
        <v>169</v>
      </c>
      <c r="B3" s="63">
        <f>SUMIFS('Form 1.5a'!J:J, 'Form 1.5a'!$B:$B, "PG&amp;E Service Area*")*1000</f>
        <v>96350000</v>
      </c>
      <c r="C3" s="63">
        <f>SUMIFS('Form 1.5a'!K:K, 'Form 1.5a'!$B:$B, "PG&amp;E Service Area*")*1000</f>
        <v>97088999.999999985</v>
      </c>
      <c r="D3" s="63">
        <f>SUMIFS('Form 1.5a'!L:L, 'Form 1.5a'!$B:$B, "PG&amp;E Service Area*")*1000</f>
        <v>97763999.999999985</v>
      </c>
      <c r="E3" s="63">
        <f>SUMIFS('Form 1.5a'!M:M, 'Form 1.5a'!$B:$B, "PG&amp;E Service Area*")*1000</f>
        <v>98211000</v>
      </c>
      <c r="F3" s="63">
        <f>SUMIFS('Form 1.5a'!N:N, 'Form 1.5a'!$B:$B, "PG&amp;E Service Area*")*1000</f>
        <v>98599000</v>
      </c>
      <c r="G3" s="63">
        <f>SUMIFS('Form 1.5a'!O:O, 'Form 1.5a'!$B:$B, "PG&amp;E Service Area*")*1000</f>
        <v>98965999.999999985</v>
      </c>
      <c r="H3" s="67">
        <f>AVERAGE(E3:G3)*(1+$N$9)</f>
        <v>98932775.539304897</v>
      </c>
      <c r="I3" s="67">
        <f t="shared" ref="I3:K4" si="0">H3*(1+$N$9)</f>
        <v>99274728.942616895</v>
      </c>
      <c r="J3" s="67">
        <f t="shared" si="0"/>
        <v>99617864.28113085</v>
      </c>
      <c r="K3" s="67">
        <f t="shared" si="0"/>
        <v>99962185.640113369</v>
      </c>
      <c r="L3" s="89" t="s">
        <v>218</v>
      </c>
      <c r="N3" s="64">
        <v>0.91839999999999999</v>
      </c>
      <c r="O3" s="9" t="s">
        <v>203</v>
      </c>
    </row>
    <row r="4" spans="1:16" s="60" customFormat="1" ht="57.6" x14ac:dyDescent="0.3">
      <c r="A4" s="105" t="s">
        <v>170</v>
      </c>
      <c r="B4" s="63">
        <f>SUMIFS('Form 1.1c'!J:J, 'Form 1.1c'!$B:$B, "Pacific Gas and Electric*")*1000</f>
        <v>87948000</v>
      </c>
      <c r="C4" s="63">
        <f>SUMIFS('Form 1.1c'!K:K, 'Form 1.1c'!$B:$B, "Pacific Gas and Electric*")*1000</f>
        <v>88630000</v>
      </c>
      <c r="D4" s="63">
        <f>SUMIFS('Form 1.1c'!L:L, 'Form 1.1c'!$B:$B, "Pacific Gas and Electric*")*1000</f>
        <v>89255000</v>
      </c>
      <c r="E4" s="63">
        <f>SUMIFS('Form 1.1c'!M:M, 'Form 1.1c'!$B:$B, "Pacific Gas and Electric*")*1000</f>
        <v>89671000</v>
      </c>
      <c r="F4" s="63">
        <f>SUMIFS('Form 1.1c'!N:N, 'Form 1.1c'!$B:$B, "Pacific Gas and Electric*")*1000</f>
        <v>90035000</v>
      </c>
      <c r="G4" s="63">
        <f>SUMIFS('Form 1.1c'!O:O, 'Form 1.1c'!$B:$B, "Pacific Gas and Electric*")*1000</f>
        <v>90376000</v>
      </c>
      <c r="H4" s="67">
        <f>AVERAGE(E4:G4)*(1+$N$9)</f>
        <v>90338505.771957636</v>
      </c>
      <c r="I4" s="63">
        <f t="shared" si="0"/>
        <v>90650753.753786147</v>
      </c>
      <c r="J4" s="63">
        <f t="shared" si="0"/>
        <v>90964080.996349856</v>
      </c>
      <c r="K4" s="63">
        <f t="shared" si="0"/>
        <v>91278491.230029106</v>
      </c>
      <c r="L4" s="89" t="s">
        <v>222</v>
      </c>
      <c r="N4" s="70">
        <f>0.15</f>
        <v>0.15</v>
      </c>
      <c r="O4" s="89" t="s">
        <v>166</v>
      </c>
    </row>
    <row r="5" spans="1:16" s="60" customFormat="1" ht="28.9" x14ac:dyDescent="0.3">
      <c r="A5" s="105" t="s">
        <v>194</v>
      </c>
      <c r="B5" s="63">
        <f t="shared" ref="B5:K5" si="1">IF(AND(0&lt;(B3-B4)/B3,(B3-B4)/B3&lt;$N$4),B4,B3*(1-$N$5))</f>
        <v>87948000</v>
      </c>
      <c r="C5" s="63">
        <f t="shared" si="1"/>
        <v>88630000</v>
      </c>
      <c r="D5" s="63">
        <f t="shared" si="1"/>
        <v>89255000</v>
      </c>
      <c r="E5" s="63">
        <f t="shared" si="1"/>
        <v>89671000</v>
      </c>
      <c r="F5" s="63">
        <f t="shared" si="1"/>
        <v>90035000</v>
      </c>
      <c r="G5" s="63">
        <f t="shared" si="1"/>
        <v>90376000</v>
      </c>
      <c r="H5" s="63">
        <f t="shared" si="1"/>
        <v>90338505.771957636</v>
      </c>
      <c r="I5" s="63">
        <f t="shared" si="1"/>
        <v>90650753.753786147</v>
      </c>
      <c r="J5" s="63">
        <f t="shared" si="1"/>
        <v>90964080.996349856</v>
      </c>
      <c r="K5" s="63">
        <f t="shared" si="1"/>
        <v>91278491.230029106</v>
      </c>
      <c r="L5" s="89" t="s">
        <v>223</v>
      </c>
      <c r="N5" s="70">
        <f>0.07</f>
        <v>7.0000000000000007E-2</v>
      </c>
      <c r="O5" s="89" t="s">
        <v>220</v>
      </c>
    </row>
    <row r="6" spans="1:16" s="60" customFormat="1" ht="14.45" x14ac:dyDescent="0.3">
      <c r="A6" s="105" t="s">
        <v>171</v>
      </c>
      <c r="B6" s="63">
        <v>0</v>
      </c>
      <c r="C6" s="63">
        <v>0</v>
      </c>
      <c r="D6" s="63">
        <v>0</v>
      </c>
      <c r="E6" s="63">
        <v>0</v>
      </c>
      <c r="F6" s="63">
        <v>0</v>
      </c>
      <c r="G6" s="63">
        <v>0</v>
      </c>
      <c r="H6" s="63">
        <v>0</v>
      </c>
      <c r="I6" s="63">
        <v>0</v>
      </c>
      <c r="J6" s="63">
        <v>0</v>
      </c>
      <c r="K6" s="63">
        <v>0</v>
      </c>
      <c r="L6" s="120" t="s">
        <v>242</v>
      </c>
      <c r="N6" s="65">
        <v>0.05</v>
      </c>
      <c r="O6" s="89" t="s">
        <v>204</v>
      </c>
    </row>
    <row r="7" spans="1:16" s="60" customFormat="1" ht="57.6" x14ac:dyDescent="0.3">
      <c r="A7" s="105" t="s">
        <v>172</v>
      </c>
      <c r="B7" s="63">
        <v>18281935.771384999</v>
      </c>
      <c r="C7" s="63">
        <v>18281443.397853002</v>
      </c>
      <c r="D7" s="63">
        <v>18284558.624086</v>
      </c>
      <c r="E7" s="63">
        <v>17183104.37277</v>
      </c>
      <c r="F7" s="63">
        <f>AVERAGE(C7:E7)</f>
        <v>17916368.798236337</v>
      </c>
      <c r="G7" s="63">
        <v>0</v>
      </c>
      <c r="H7" s="63">
        <f t="shared" ref="H7:K7" si="2">G7</f>
        <v>0</v>
      </c>
      <c r="I7" s="63">
        <f t="shared" si="2"/>
        <v>0</v>
      </c>
      <c r="J7" s="63">
        <f t="shared" si="2"/>
        <v>0</v>
      </c>
      <c r="K7" s="63">
        <f t="shared" si="2"/>
        <v>0</v>
      </c>
      <c r="L7" s="89" t="s">
        <v>252</v>
      </c>
      <c r="N7" s="86">
        <v>0.85099999999999998</v>
      </c>
      <c r="O7" s="89" t="s">
        <v>168</v>
      </c>
    </row>
    <row r="8" spans="1:16" s="60" customFormat="1" ht="28.9" x14ac:dyDescent="0.3">
      <c r="A8" s="105" t="s">
        <v>173</v>
      </c>
      <c r="B8" s="63">
        <v>9489081.6746110022</v>
      </c>
      <c r="C8" s="63">
        <v>9486305.9631190002</v>
      </c>
      <c r="D8" s="63">
        <v>9483357.2673009988</v>
      </c>
      <c r="E8" s="63">
        <v>9501135.9139590021</v>
      </c>
      <c r="F8" s="63">
        <f>AVERAGE(C8:E8)</f>
        <v>9490266.3814596683</v>
      </c>
      <c r="G8" s="63">
        <f>F8</f>
        <v>9490266.3814596683</v>
      </c>
      <c r="H8" s="63">
        <f t="shared" ref="H8:K8" si="3">G8</f>
        <v>9490266.3814596683</v>
      </c>
      <c r="I8" s="63">
        <f t="shared" si="3"/>
        <v>9490266.3814596683</v>
      </c>
      <c r="J8" s="63">
        <f t="shared" si="3"/>
        <v>9490266.3814596683</v>
      </c>
      <c r="K8" s="63">
        <f t="shared" si="3"/>
        <v>9490266.3814596683</v>
      </c>
      <c r="L8" s="89" t="s">
        <v>251</v>
      </c>
      <c r="O8" s="107"/>
    </row>
    <row r="9" spans="1:16" s="60" customFormat="1" ht="28.9" x14ac:dyDescent="0.3">
      <c r="A9" s="105" t="s">
        <v>153</v>
      </c>
      <c r="B9" s="59">
        <v>0.34</v>
      </c>
      <c r="C9" s="59">
        <v>0.36</v>
      </c>
      <c r="D9" s="59">
        <v>0.37</v>
      </c>
      <c r="E9" s="59">
        <v>0.39</v>
      </c>
      <c r="F9" s="59">
        <v>0.41</v>
      </c>
      <c r="G9" s="59">
        <v>0.42</v>
      </c>
      <c r="H9" s="59">
        <v>0.44</v>
      </c>
      <c r="I9" s="59">
        <v>0.46</v>
      </c>
      <c r="J9" s="59">
        <v>0.48</v>
      </c>
      <c r="K9" s="59">
        <v>0.5</v>
      </c>
      <c r="L9" s="89" t="s">
        <v>248</v>
      </c>
      <c r="N9" s="66">
        <v>3.4564218121641336E-3</v>
      </c>
      <c r="O9" s="89" t="s">
        <v>205</v>
      </c>
    </row>
    <row r="10" spans="1:16" s="60" customFormat="1" ht="14.45" x14ac:dyDescent="0.3">
      <c r="A10" s="105" t="s">
        <v>174</v>
      </c>
      <c r="B10" s="63">
        <f>B5*B9</f>
        <v>29902320.000000004</v>
      </c>
      <c r="C10" s="63">
        <f t="shared" ref="C10:K10" si="4">C5*C9</f>
        <v>31906800</v>
      </c>
      <c r="D10" s="63">
        <f t="shared" si="4"/>
        <v>33024350</v>
      </c>
      <c r="E10" s="63">
        <f t="shared" si="4"/>
        <v>34971690</v>
      </c>
      <c r="F10" s="63">
        <f t="shared" si="4"/>
        <v>36914350</v>
      </c>
      <c r="G10" s="63">
        <f t="shared" si="4"/>
        <v>37957920</v>
      </c>
      <c r="H10" s="63">
        <f t="shared" si="4"/>
        <v>39748942.539661363</v>
      </c>
      <c r="I10" s="63">
        <f t="shared" si="4"/>
        <v>41699346.726741627</v>
      </c>
      <c r="J10" s="63">
        <f t="shared" si="4"/>
        <v>43662758.878247932</v>
      </c>
      <c r="K10" s="63">
        <f t="shared" si="4"/>
        <v>45639245.615014553</v>
      </c>
      <c r="L10" s="89" t="s">
        <v>207</v>
      </c>
    </row>
    <row r="11" spans="1:16" s="60" customFormat="1" ht="28.9" x14ac:dyDescent="0.3">
      <c r="A11" s="105" t="s">
        <v>175</v>
      </c>
      <c r="B11" s="63">
        <f t="shared" ref="B11:K11" si="5">MAX(B3-SUM(B6:B8,B10), B3*$N$6)</f>
        <v>38676662.554003999</v>
      </c>
      <c r="C11" s="63">
        <f t="shared" si="5"/>
        <v>37414450.639027983</v>
      </c>
      <c r="D11" s="63">
        <f t="shared" si="5"/>
        <v>36971734.108612984</v>
      </c>
      <c r="E11" s="63">
        <f t="shared" si="5"/>
        <v>36555069.713270999</v>
      </c>
      <c r="F11" s="63">
        <f t="shared" si="5"/>
        <v>34278014.820303991</v>
      </c>
      <c r="G11" s="63">
        <f t="shared" si="5"/>
        <v>51517813.618540317</v>
      </c>
      <c r="H11" s="63">
        <f t="shared" si="5"/>
        <v>49693566.618183866</v>
      </c>
      <c r="I11" s="63">
        <f t="shared" si="5"/>
        <v>48085115.8344156</v>
      </c>
      <c r="J11" s="63">
        <f t="shared" si="5"/>
        <v>46464839.02142325</v>
      </c>
      <c r="K11" s="63">
        <f t="shared" si="5"/>
        <v>44832673.643639147</v>
      </c>
      <c r="L11" s="89" t="s">
        <v>208</v>
      </c>
    </row>
    <row r="12" spans="1:16" s="60" customFormat="1" ht="43.9" x14ac:dyDescent="0.35">
      <c r="A12" s="105" t="s">
        <v>197</v>
      </c>
      <c r="B12" s="63">
        <f t="shared" ref="B12:K12" si="6">B6*$N$3+B11*$N$2</f>
        <v>16839818.876013342</v>
      </c>
      <c r="C12" s="63">
        <f t="shared" si="6"/>
        <v>16290251.808232784</v>
      </c>
      <c r="D12" s="63">
        <f t="shared" si="6"/>
        <v>16097493.030890094</v>
      </c>
      <c r="E12" s="63">
        <f t="shared" si="6"/>
        <v>15916077.353158193</v>
      </c>
      <c r="F12" s="63">
        <f t="shared" si="6"/>
        <v>14924647.652760359</v>
      </c>
      <c r="G12" s="63">
        <f t="shared" si="6"/>
        <v>22430856.049512453</v>
      </c>
      <c r="H12" s="63">
        <f t="shared" si="6"/>
        <v>21636578.905557256</v>
      </c>
      <c r="I12" s="63">
        <f t="shared" si="6"/>
        <v>20936259.434304554</v>
      </c>
      <c r="J12" s="63">
        <f t="shared" si="6"/>
        <v>20230790.909927685</v>
      </c>
      <c r="K12" s="63">
        <f t="shared" si="6"/>
        <v>19520146.104440484</v>
      </c>
      <c r="L12" s="108" t="s">
        <v>209</v>
      </c>
    </row>
    <row r="13" spans="1:16" s="60" customFormat="1" ht="86.45" x14ac:dyDescent="0.3">
      <c r="A13" s="105"/>
      <c r="B13" s="146" t="s">
        <v>210</v>
      </c>
      <c r="C13" s="147"/>
      <c r="D13" s="147"/>
      <c r="E13" s="147"/>
      <c r="F13" s="147"/>
      <c r="G13" s="147"/>
      <c r="H13" s="147"/>
      <c r="I13" s="147"/>
      <c r="J13" s="148"/>
      <c r="K13" s="87">
        <v>4250287.5406368272</v>
      </c>
      <c r="L13" s="108" t="s">
        <v>216</v>
      </c>
    </row>
    <row r="14" spans="1:16"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row>
    <row r="15" spans="1:16" s="60" customFormat="1" ht="28.9" x14ac:dyDescent="0.3">
      <c r="A15" s="105" t="s">
        <v>198</v>
      </c>
      <c r="B15" s="88">
        <f t="shared" ref="B15:K15" si="7">$K$13*B14</f>
        <v>3472484.9207002874</v>
      </c>
      <c r="C15" s="88">
        <f t="shared" si="7"/>
        <v>3327975.144318636</v>
      </c>
      <c r="D15" s="88">
        <f t="shared" si="7"/>
        <v>3183465.3679369837</v>
      </c>
      <c r="E15" s="88">
        <f t="shared" si="7"/>
        <v>3038955.5915553314</v>
      </c>
      <c r="F15" s="88">
        <f t="shared" si="7"/>
        <v>2894445.8151736795</v>
      </c>
      <c r="G15" s="88">
        <f t="shared" si="7"/>
        <v>2749936.0387920272</v>
      </c>
      <c r="H15" s="88">
        <f t="shared" si="7"/>
        <v>2609676.5499510118</v>
      </c>
      <c r="I15" s="88">
        <f t="shared" si="7"/>
        <v>2465166.7735693594</v>
      </c>
      <c r="J15" s="88">
        <f t="shared" si="7"/>
        <v>2320656.997187708</v>
      </c>
      <c r="K15" s="88">
        <f t="shared" si="7"/>
        <v>2171896.9332654187</v>
      </c>
      <c r="L15" s="108" t="s">
        <v>211</v>
      </c>
    </row>
    <row r="16" spans="1:16" s="60" customFormat="1" ht="30" x14ac:dyDescent="0.35">
      <c r="A16" s="105" t="s">
        <v>199</v>
      </c>
      <c r="B16" s="82">
        <f t="shared" ref="B16:K16" si="8">B12/B3</f>
        <v>0.17477757006760086</v>
      </c>
      <c r="C16" s="82">
        <f t="shared" si="8"/>
        <v>0.16778679158537824</v>
      </c>
      <c r="D16" s="82">
        <f t="shared" si="8"/>
        <v>0.16465665307158153</v>
      </c>
      <c r="E16" s="82">
        <f t="shared" si="8"/>
        <v>0.16206002742216444</v>
      </c>
      <c r="F16" s="82">
        <f t="shared" si="8"/>
        <v>0.15136713001917218</v>
      </c>
      <c r="G16" s="82">
        <f t="shared" si="8"/>
        <v>0.2266521436605749</v>
      </c>
      <c r="H16" s="82">
        <f t="shared" si="8"/>
        <v>0.21869980689019772</v>
      </c>
      <c r="I16" s="82">
        <f t="shared" si="8"/>
        <v>0.21089213395290357</v>
      </c>
      <c r="J16" s="82">
        <f t="shared" si="8"/>
        <v>0.20308396547063604</v>
      </c>
      <c r="K16" s="82">
        <f t="shared" si="8"/>
        <v>0.19527530315030781</v>
      </c>
      <c r="L16" s="89" t="s">
        <v>212</v>
      </c>
    </row>
    <row r="17" spans="1:15" s="60" customFormat="1" ht="30.6" thickBot="1" x14ac:dyDescent="0.4">
      <c r="A17" s="105" t="s">
        <v>200</v>
      </c>
      <c r="B17" s="81">
        <f>B15*B16</f>
        <v>606912.47653638187</v>
      </c>
      <c r="C17" s="81">
        <f t="shared" ref="C17:K17" si="9">C15*C16</f>
        <v>558390.27194111003</v>
      </c>
      <c r="D17" s="81">
        <f t="shared" si="9"/>
        <v>524178.7526537946</v>
      </c>
      <c r="E17" s="81">
        <f t="shared" si="9"/>
        <v>492493.22650219698</v>
      </c>
      <c r="F17" s="81">
        <f t="shared" si="9"/>
        <v>438123.95603884314</v>
      </c>
      <c r="G17" s="81">
        <f t="shared" si="9"/>
        <v>623278.89812168281</v>
      </c>
      <c r="H17" s="81">
        <f t="shared" si="9"/>
        <v>570735.75752016366</v>
      </c>
      <c r="I17" s="81">
        <f t="shared" si="9"/>
        <v>519884.28142783645</v>
      </c>
      <c r="J17" s="81">
        <f t="shared" si="9"/>
        <v>471288.22548605839</v>
      </c>
      <c r="K17" s="81">
        <f t="shared" si="9"/>
        <v>424117.83205462847</v>
      </c>
      <c r="L17" s="89" t="s">
        <v>213</v>
      </c>
    </row>
    <row r="18" spans="1:15" ht="43.9" thickBot="1" x14ac:dyDescent="0.35">
      <c r="A18" s="128" t="s">
        <v>201</v>
      </c>
      <c r="B18" s="84">
        <f t="shared" ref="B18:K18" si="10">B12*(B14/$N$7)-B17</f>
        <v>15560105.175288413</v>
      </c>
      <c r="C18" s="84">
        <f t="shared" si="10"/>
        <v>14430172.790157914</v>
      </c>
      <c r="D18" s="84">
        <f t="shared" si="10"/>
        <v>13643885.031290602</v>
      </c>
      <c r="E18" s="84">
        <f t="shared" si="10"/>
        <v>12880004.197126603</v>
      </c>
      <c r="F18" s="84">
        <f t="shared" si="10"/>
        <v>11505101.721434489</v>
      </c>
      <c r="G18" s="84">
        <f t="shared" si="10"/>
        <v>16430497.675361933</v>
      </c>
      <c r="H18" s="84">
        <f t="shared" si="10"/>
        <v>15040144.909944179</v>
      </c>
      <c r="I18" s="84">
        <f t="shared" si="10"/>
        <v>13749246.707874915</v>
      </c>
      <c r="J18" s="84">
        <f t="shared" si="10"/>
        <v>12508749.18558388</v>
      </c>
      <c r="K18" s="84">
        <f t="shared" si="10"/>
        <v>11297144.987415511</v>
      </c>
      <c r="L18" s="93" t="s">
        <v>214</v>
      </c>
      <c r="N18" s="60"/>
      <c r="O18" s="60"/>
    </row>
    <row r="19" spans="1:15" x14ac:dyDescent="0.25">
      <c r="A19" s="85"/>
      <c r="B19" s="85"/>
      <c r="C19" s="85"/>
      <c r="D19" s="85"/>
      <c r="E19" s="85"/>
      <c r="F19" s="85"/>
      <c r="G19" s="85"/>
      <c r="H19" s="85"/>
      <c r="I19" s="85"/>
      <c r="J19" s="85"/>
      <c r="K19" s="85"/>
      <c r="N19" s="60"/>
      <c r="O19" s="60"/>
    </row>
  </sheetData>
  <mergeCells count="3">
    <mergeCell ref="B13:J13"/>
    <mergeCell ref="B1:L1"/>
    <mergeCell ref="N1:O1"/>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zoomScaleNormal="100" workbookViewId="0"/>
  </sheetViews>
  <sheetFormatPr defaultRowHeight="15" x14ac:dyDescent="0.25"/>
  <cols>
    <col min="1" max="1" width="29.28515625" customWidth="1"/>
    <col min="2" max="11" width="9" bestFit="1" customWidth="1"/>
    <col min="12" max="12" width="50.85546875" customWidth="1"/>
    <col min="14" max="14" width="8.7109375" customWidth="1"/>
    <col min="15" max="15" width="34.140625" customWidth="1"/>
    <col min="16" max="17" width="12" customWidth="1"/>
    <col min="18" max="18" width="11.28515625" customWidth="1"/>
    <col min="19" max="19" width="14.28515625" customWidth="1"/>
    <col min="20" max="20" width="10.7109375" bestFit="1" customWidth="1"/>
  </cols>
  <sheetData>
    <row r="1" spans="1:18" s="60" customFormat="1" ht="15.6" x14ac:dyDescent="0.3">
      <c r="A1" s="103" t="s">
        <v>5</v>
      </c>
      <c r="B1" s="141" t="s">
        <v>176</v>
      </c>
      <c r="C1" s="142"/>
      <c r="D1" s="142"/>
      <c r="E1" s="142"/>
      <c r="F1" s="142"/>
      <c r="G1" s="142"/>
      <c r="H1" s="142"/>
      <c r="I1" s="142"/>
      <c r="J1" s="142"/>
      <c r="K1" s="142"/>
      <c r="L1" s="143"/>
      <c r="N1" s="144" t="s">
        <v>196</v>
      </c>
      <c r="O1" s="145"/>
      <c r="P1" s="62"/>
    </row>
    <row r="2" spans="1:18" s="60" customFormat="1" ht="30"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58.9" x14ac:dyDescent="0.35">
      <c r="A3" s="105" t="s">
        <v>226</v>
      </c>
      <c r="B3" s="111">
        <v>884960</v>
      </c>
      <c r="C3" s="111">
        <v>884400</v>
      </c>
      <c r="D3" s="111">
        <v>881130</v>
      </c>
      <c r="E3" s="111">
        <v>877620</v>
      </c>
      <c r="F3" s="111">
        <v>867400</v>
      </c>
      <c r="G3" s="111">
        <f>AVERAGE(D3:F3)*(1+$N$6)</f>
        <v>873282.41333333345</v>
      </c>
      <c r="H3" s="111">
        <f>G3*(1+$N$6)</f>
        <v>871186.53554133349</v>
      </c>
      <c r="I3" s="111">
        <f>H3*(1+$N$6)</f>
        <v>869095.68785603438</v>
      </c>
      <c r="J3" s="111">
        <f>I3*(1+$N$6)</f>
        <v>867009.85820517992</v>
      </c>
      <c r="K3" s="111">
        <f>J3*(1+$N$6)</f>
        <v>864929.03454548749</v>
      </c>
      <c r="L3" s="112" t="s">
        <v>227</v>
      </c>
      <c r="N3" s="64">
        <v>0.91839999999999999</v>
      </c>
      <c r="O3" s="9" t="s">
        <v>203</v>
      </c>
    </row>
    <row r="4" spans="1:18" s="60" customFormat="1" ht="16.149999999999999" x14ac:dyDescent="0.3">
      <c r="A4" s="105" t="s">
        <v>228</v>
      </c>
      <c r="B4" s="113">
        <v>0.55000000000000004</v>
      </c>
      <c r="C4" s="113">
        <v>0.55000000000000004</v>
      </c>
      <c r="D4" s="113">
        <v>0.55000000000000004</v>
      </c>
      <c r="E4" s="113">
        <v>0.51</v>
      </c>
      <c r="F4" s="113">
        <v>0.52</v>
      </c>
      <c r="G4" s="113">
        <v>0.49</v>
      </c>
      <c r="H4" s="113">
        <v>0.47</v>
      </c>
      <c r="I4" s="113">
        <v>0.45</v>
      </c>
      <c r="J4" s="113">
        <v>0.45</v>
      </c>
      <c r="K4" s="113">
        <v>0.36</v>
      </c>
      <c r="L4" s="112" t="s">
        <v>229</v>
      </c>
      <c r="N4" s="86">
        <v>0.85099999999999998</v>
      </c>
      <c r="O4" s="89" t="s">
        <v>168</v>
      </c>
    </row>
    <row r="5" spans="1:18" s="60" customFormat="1" ht="63.75" customHeight="1" x14ac:dyDescent="0.3">
      <c r="A5" s="105" t="s">
        <v>230</v>
      </c>
      <c r="B5" s="113">
        <v>0.24</v>
      </c>
      <c r="C5" s="113">
        <v>0.25</v>
      </c>
      <c r="D5" s="113">
        <v>0.27</v>
      </c>
      <c r="E5" s="113">
        <v>0.28000000000000003</v>
      </c>
      <c r="F5" s="113">
        <v>0.3</v>
      </c>
      <c r="G5" s="113">
        <v>0.28999999999999998</v>
      </c>
      <c r="H5" s="113">
        <v>0.3</v>
      </c>
      <c r="I5" s="113">
        <v>0.28999999999999998</v>
      </c>
      <c r="J5" s="113">
        <v>0.3</v>
      </c>
      <c r="K5" s="113">
        <v>0.27</v>
      </c>
      <c r="L5" s="112" t="s">
        <v>231</v>
      </c>
      <c r="N5" s="68"/>
      <c r="O5" s="62"/>
    </row>
    <row r="6" spans="1:18" s="60" customFormat="1" ht="30" customHeight="1" x14ac:dyDescent="0.3">
      <c r="A6" s="105" t="s">
        <v>232</v>
      </c>
      <c r="B6" s="114">
        <v>0.21000000000000019</v>
      </c>
      <c r="C6" s="113">
        <v>0.19000000000000017</v>
      </c>
      <c r="D6" s="113">
        <v>0.18999999999999995</v>
      </c>
      <c r="E6" s="113">
        <v>0.20999999999999996</v>
      </c>
      <c r="F6" s="113">
        <v>0.19</v>
      </c>
      <c r="G6" s="113">
        <v>0.22000000000000003</v>
      </c>
      <c r="H6" s="113">
        <v>0.23000000000000004</v>
      </c>
      <c r="I6" s="113">
        <v>0.27000000000000007</v>
      </c>
      <c r="J6" s="113">
        <v>0.26000000000000006</v>
      </c>
      <c r="K6" s="113">
        <v>0.37</v>
      </c>
      <c r="L6" s="89" t="s">
        <v>233</v>
      </c>
      <c r="N6" s="66">
        <v>-2.3999999999999998E-3</v>
      </c>
      <c r="O6" s="89" t="s">
        <v>240</v>
      </c>
    </row>
    <row r="7" spans="1:18" s="60" customFormat="1" ht="58.15" x14ac:dyDescent="0.35">
      <c r="A7" s="105" t="s">
        <v>199</v>
      </c>
      <c r="B7" s="82">
        <f>B4*$N$3+B6*$N$2</f>
        <v>0.59655400000000014</v>
      </c>
      <c r="C7" s="82">
        <f t="shared" ref="C7:K7" si="0">C4*$N$3+C6*$N$2</f>
        <v>0.58784600000000009</v>
      </c>
      <c r="D7" s="82">
        <f t="shared" si="0"/>
        <v>0.58784599999999998</v>
      </c>
      <c r="E7" s="82">
        <f t="shared" si="0"/>
        <v>0.55981800000000004</v>
      </c>
      <c r="F7" s="82">
        <f t="shared" si="0"/>
        <v>0.56029399999999996</v>
      </c>
      <c r="G7" s="82">
        <f t="shared" si="0"/>
        <v>0.54580399999999996</v>
      </c>
      <c r="H7" s="82">
        <f t="shared" si="0"/>
        <v>0.53178999999999998</v>
      </c>
      <c r="I7" s="82">
        <f t="shared" si="0"/>
        <v>0.53083800000000003</v>
      </c>
      <c r="J7" s="82">
        <f t="shared" si="0"/>
        <v>0.52648399999999995</v>
      </c>
      <c r="K7" s="82">
        <f t="shared" si="0"/>
        <v>0.49172199999999999</v>
      </c>
      <c r="L7" s="89" t="s">
        <v>234</v>
      </c>
    </row>
    <row r="8" spans="1:18" s="60" customFormat="1" ht="43.9" x14ac:dyDescent="0.35">
      <c r="A8" s="105" t="s">
        <v>197</v>
      </c>
      <c r="B8" s="94">
        <f t="shared" ref="B8:K8" si="1">B7*B3</f>
        <v>527926.42784000013</v>
      </c>
      <c r="C8" s="94">
        <f t="shared" si="1"/>
        <v>519891.00240000006</v>
      </c>
      <c r="D8" s="94">
        <f t="shared" si="1"/>
        <v>517968.74598000001</v>
      </c>
      <c r="E8" s="94">
        <f t="shared" si="1"/>
        <v>491307.47316000005</v>
      </c>
      <c r="F8" s="94">
        <f t="shared" si="1"/>
        <v>485999.01559999998</v>
      </c>
      <c r="G8" s="94">
        <f t="shared" si="1"/>
        <v>476641.0343269867</v>
      </c>
      <c r="H8" s="94">
        <f t="shared" si="1"/>
        <v>463288.28773552575</v>
      </c>
      <c r="I8" s="94">
        <f t="shared" si="1"/>
        <v>461349.01675012161</v>
      </c>
      <c r="J8" s="94">
        <f t="shared" si="1"/>
        <v>456466.81818729592</v>
      </c>
      <c r="K8" s="94">
        <f t="shared" si="1"/>
        <v>425304.6347247762</v>
      </c>
      <c r="L8" s="108" t="s">
        <v>209</v>
      </c>
    </row>
    <row r="9" spans="1:18" ht="29.45" thickBot="1" x14ac:dyDescent="0.35">
      <c r="A9" s="105" t="s">
        <v>167</v>
      </c>
      <c r="B9" s="83">
        <v>0.81699999999999995</v>
      </c>
      <c r="C9" s="83">
        <v>0.78300000000000003</v>
      </c>
      <c r="D9" s="83">
        <v>0.749</v>
      </c>
      <c r="E9" s="83">
        <v>0.71499999999999997</v>
      </c>
      <c r="F9" s="83">
        <v>0.68100000000000005</v>
      </c>
      <c r="G9" s="83">
        <v>0.64700000000000002</v>
      </c>
      <c r="H9" s="83">
        <v>0.61399999999999999</v>
      </c>
      <c r="I9" s="83">
        <v>0.57999999999999996</v>
      </c>
      <c r="J9" s="83">
        <v>0.54600000000000004</v>
      </c>
      <c r="K9" s="83">
        <v>0.51100000000000001</v>
      </c>
      <c r="L9" s="109" t="s">
        <v>215</v>
      </c>
      <c r="N9" s="60"/>
      <c r="O9" s="60"/>
      <c r="P9" s="60"/>
      <c r="Q9" s="60"/>
      <c r="R9" s="60"/>
    </row>
    <row r="10" spans="1:18" ht="29.45" thickBot="1" x14ac:dyDescent="0.35">
      <c r="A10" s="128" t="s">
        <v>201</v>
      </c>
      <c r="B10" s="84">
        <f t="shared" ref="B10:I10" si="2">B8*(B9/$N$4)</f>
        <v>506834.18512958888</v>
      </c>
      <c r="C10" s="84">
        <f t="shared" si="2"/>
        <v>478348.59562773211</v>
      </c>
      <c r="D10" s="84">
        <f t="shared" si="2"/>
        <v>455885.53553351352</v>
      </c>
      <c r="E10" s="84">
        <f t="shared" si="2"/>
        <v>412790.65018730907</v>
      </c>
      <c r="F10" s="84">
        <f t="shared" si="2"/>
        <v>388913.43081504118</v>
      </c>
      <c r="G10" s="84">
        <f t="shared" si="2"/>
        <v>362381.60894190409</v>
      </c>
      <c r="H10" s="84">
        <f t="shared" si="2"/>
        <v>334264.40501717135</v>
      </c>
      <c r="I10" s="84">
        <f t="shared" si="2"/>
        <v>314432.93738551176</v>
      </c>
      <c r="J10" s="84">
        <f>J8*(J9/$N$4)</f>
        <v>292868.25232698425</v>
      </c>
      <c r="K10" s="84">
        <f>K8*(K9/$N$4)</f>
        <v>255382.68900629925</v>
      </c>
      <c r="L10" s="115" t="s">
        <v>235</v>
      </c>
      <c r="N10" s="60"/>
      <c r="O10" s="60"/>
      <c r="P10" s="60"/>
      <c r="Q10" s="60"/>
      <c r="R10" s="60"/>
    </row>
    <row r="11" spans="1:18" ht="14.45" x14ac:dyDescent="0.3">
      <c r="A11" s="116" t="s">
        <v>236</v>
      </c>
      <c r="B11" s="117"/>
      <c r="C11" s="85"/>
      <c r="D11" s="85"/>
      <c r="E11" s="85"/>
      <c r="F11" s="85"/>
      <c r="G11" s="85"/>
      <c r="H11" s="85"/>
      <c r="I11" s="85"/>
      <c r="J11" s="85"/>
      <c r="K11" s="85"/>
      <c r="P11" s="60"/>
      <c r="Q11" s="60"/>
      <c r="R11" s="60"/>
    </row>
    <row r="12" spans="1:18" ht="17.25" x14ac:dyDescent="0.25">
      <c r="A12" t="s">
        <v>237</v>
      </c>
    </row>
    <row r="13" spans="1:18" ht="14.45" x14ac:dyDescent="0.3">
      <c r="A13" s="118" t="s">
        <v>238</v>
      </c>
    </row>
    <row r="14" spans="1:18" ht="16.149999999999999" x14ac:dyDescent="0.3">
      <c r="A14" t="s">
        <v>276</v>
      </c>
    </row>
    <row r="15" spans="1:18" ht="14.45" x14ac:dyDescent="0.3">
      <c r="A15" s="118" t="s">
        <v>239</v>
      </c>
    </row>
    <row r="16" spans="1:18" ht="15.6" x14ac:dyDescent="0.3">
      <c r="N16" s="7"/>
      <c r="O16" s="7"/>
    </row>
  </sheetData>
  <mergeCells count="2">
    <mergeCell ref="B1:L1"/>
    <mergeCell ref="N1:O1"/>
  </mergeCells>
  <hyperlinks>
    <hyperlink ref="A15" r:id="rId1"/>
    <hyperlink ref="A13" r:id="rId2"/>
  </hyperlinks>
  <pageMargins left="0.7" right="0.7" top="0.75" bottom="0.75" header="0.3" footer="0.3"/>
  <pageSetup orientation="portrait"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election activeCell="A3" sqref="A3"/>
    </sheetView>
  </sheetViews>
  <sheetFormatPr defaultRowHeight="15" x14ac:dyDescent="0.25"/>
  <cols>
    <col min="1" max="1" width="29.140625" customWidth="1"/>
    <col min="2" max="11" width="10.5703125" bestFit="1" customWidth="1"/>
    <col min="12" max="12" width="49.28515625" style="3" customWidth="1"/>
    <col min="14" max="14" width="8.7109375" customWidth="1"/>
    <col min="15" max="15" width="34.140625" customWidth="1"/>
    <col min="16" max="17" width="12" customWidth="1"/>
    <col min="18" max="18" width="4.28515625" customWidth="1"/>
    <col min="19" max="19" width="14.28515625" customWidth="1"/>
    <col min="20" max="20" width="10.7109375" bestFit="1" customWidth="1"/>
  </cols>
  <sheetData>
    <row r="1" spans="1:18" s="60" customFormat="1" ht="15.6" x14ac:dyDescent="0.3">
      <c r="A1" s="103" t="s">
        <v>34</v>
      </c>
      <c r="B1" s="141" t="s">
        <v>176</v>
      </c>
      <c r="C1" s="142"/>
      <c r="D1" s="142"/>
      <c r="E1" s="142"/>
      <c r="F1" s="142"/>
      <c r="G1" s="142"/>
      <c r="H1" s="142"/>
      <c r="I1" s="142"/>
      <c r="J1" s="142"/>
      <c r="K1" s="142"/>
      <c r="L1" s="143"/>
      <c r="N1" s="144" t="s">
        <v>196</v>
      </c>
      <c r="O1" s="145"/>
      <c r="P1" s="62"/>
    </row>
    <row r="2" spans="1:18" s="60" customFormat="1" ht="30"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58.9" x14ac:dyDescent="0.35">
      <c r="A3" s="105" t="s">
        <v>169</v>
      </c>
      <c r="B3" s="63">
        <f>SUMIFS('Form 1.5a'!J:J, 'Form 1.5a'!$B:$B, "Pasadena")*1000</f>
        <v>1271000</v>
      </c>
      <c r="C3" s="63">
        <f>SUMIFS('Form 1.5a'!K:K, 'Form 1.5a'!$B:$B, "Pasadena")*1000</f>
        <v>1278000</v>
      </c>
      <c r="D3" s="63">
        <f>SUMIFS('Form 1.5a'!L:L, 'Form 1.5a'!$B:$B, "Pasadena")*1000</f>
        <v>1282000</v>
      </c>
      <c r="E3" s="63">
        <f>SUMIFS('Form 1.5a'!M:M, 'Form 1.5a'!$B:$B, "Pasadena")*1000</f>
        <v>1285000</v>
      </c>
      <c r="F3" s="63">
        <f>SUMIFS('Form 1.5a'!N:N, 'Form 1.5a'!$B:$B, "Pasadena")*1000</f>
        <v>1289000</v>
      </c>
      <c r="G3" s="63">
        <f>SUMIFS('Form 1.5a'!O:O, 'Form 1.5a'!$B:$B, "Pasadena")*1000</f>
        <v>1290000</v>
      </c>
      <c r="H3" s="67">
        <f>AVERAGE(E3:G3)*(1+$N$9)</f>
        <v>1293209.8841319729</v>
      </c>
      <c r="I3" s="67">
        <f t="shared" ref="I3:K4" si="0">H3*(1+$N$9)</f>
        <v>1298440.8419383778</v>
      </c>
      <c r="J3" s="67">
        <f t="shared" si="0"/>
        <v>1303692.9586609867</v>
      </c>
      <c r="K3" s="67">
        <f t="shared" si="0"/>
        <v>1308966.3198863692</v>
      </c>
      <c r="L3" s="89" t="s">
        <v>218</v>
      </c>
      <c r="N3" s="64">
        <v>0.91839999999999999</v>
      </c>
      <c r="O3" s="9" t="s">
        <v>203</v>
      </c>
    </row>
    <row r="4" spans="1:18" s="60" customFormat="1" ht="57.6" x14ac:dyDescent="0.3">
      <c r="A4" s="105" t="s">
        <v>170</v>
      </c>
      <c r="B4" s="63">
        <f>SUMIFS('Form 1.1c'!J:J, 'Form 1.1c'!$B:$B, "City of Pasadena")*1000</f>
        <v>1192000</v>
      </c>
      <c r="C4" s="63">
        <f>SUMIFS('Form 1.1c'!K:K, 'Form 1.1c'!$B:$B, "City of Pasadena")*1000</f>
        <v>1199000</v>
      </c>
      <c r="D4" s="63">
        <f>SUMIFS('Form 1.1c'!L:L, 'Form 1.1c'!$B:$B, "City of Pasadena")*1000</f>
        <v>1203000</v>
      </c>
      <c r="E4" s="63">
        <f>SUMIFS('Form 1.1c'!M:M, 'Form 1.1c'!$B:$B, "City of Pasadena")*1000</f>
        <v>1205000</v>
      </c>
      <c r="F4" s="63">
        <f>SUMIFS('Form 1.1c'!N:N, 'Form 1.1c'!$B:$B, "City of Pasadena")*1000</f>
        <v>1209000</v>
      </c>
      <c r="G4" s="63">
        <f>SUMIFS('Form 1.1c'!O:O, 'Form 1.1c'!$B:$B, "City of Pasadena")*1000</f>
        <v>1210000</v>
      </c>
      <c r="H4" s="67">
        <f>AVERAGE(E4:G4)*(1+$N$9)</f>
        <v>1212886.2888442727</v>
      </c>
      <c r="I4" s="63">
        <f t="shared" si="0"/>
        <v>1217792.3424390997</v>
      </c>
      <c r="J4" s="63">
        <f t="shared" si="0"/>
        <v>1222718.2407317329</v>
      </c>
      <c r="K4" s="63">
        <f t="shared" si="0"/>
        <v>1227664.0639928058</v>
      </c>
      <c r="L4" s="89" t="s">
        <v>222</v>
      </c>
      <c r="N4" s="70">
        <f>0.15</f>
        <v>0.15</v>
      </c>
      <c r="O4" s="89" t="s">
        <v>166</v>
      </c>
    </row>
    <row r="5" spans="1:18" s="60" customFormat="1" ht="28.9" x14ac:dyDescent="0.3">
      <c r="A5" s="105" t="s">
        <v>194</v>
      </c>
      <c r="B5" s="63">
        <f t="shared" ref="B5:K5" si="1">IF(AND(0&lt;(B3-B4)/B3,(B3-B4)/B3&lt;$N$4),B4,B3*(1-$N$5))</f>
        <v>1192000</v>
      </c>
      <c r="C5" s="63">
        <f t="shared" si="1"/>
        <v>1199000</v>
      </c>
      <c r="D5" s="63">
        <f t="shared" si="1"/>
        <v>1203000</v>
      </c>
      <c r="E5" s="63">
        <f t="shared" si="1"/>
        <v>1205000</v>
      </c>
      <c r="F5" s="63">
        <f t="shared" si="1"/>
        <v>1209000</v>
      </c>
      <c r="G5" s="63">
        <f t="shared" si="1"/>
        <v>1210000</v>
      </c>
      <c r="H5" s="63">
        <f t="shared" si="1"/>
        <v>1212886.2888442727</v>
      </c>
      <c r="I5" s="63">
        <f t="shared" si="1"/>
        <v>1217792.3424390997</v>
      </c>
      <c r="J5" s="63">
        <f t="shared" si="1"/>
        <v>1222718.2407317329</v>
      </c>
      <c r="K5" s="63">
        <f t="shared" si="1"/>
        <v>1227664.0639928058</v>
      </c>
      <c r="L5" s="89" t="s">
        <v>223</v>
      </c>
      <c r="N5" s="70">
        <f>0.07</f>
        <v>7.0000000000000007E-2</v>
      </c>
      <c r="O5" s="89" t="s">
        <v>220</v>
      </c>
    </row>
    <row r="6" spans="1:18" s="60" customFormat="1" ht="72" x14ac:dyDescent="0.3">
      <c r="A6" s="105" t="s">
        <v>171</v>
      </c>
      <c r="B6" s="63">
        <v>668151</v>
      </c>
      <c r="C6" s="63">
        <v>643608</v>
      </c>
      <c r="D6" s="63">
        <v>638761</v>
      </c>
      <c r="E6" s="63">
        <v>616543</v>
      </c>
      <c r="F6" s="63">
        <f>F3-SUM(F7:F8,F10:F11)</f>
        <v>594755</v>
      </c>
      <c r="G6" s="63">
        <f>G3-SUM(G7:G8,G10:G11)</f>
        <v>583195</v>
      </c>
      <c r="H6" s="63">
        <f>G6/2</f>
        <v>291597.5</v>
      </c>
      <c r="I6" s="63">
        <v>0</v>
      </c>
      <c r="J6" s="63">
        <v>0</v>
      </c>
      <c r="K6" s="63">
        <v>0</v>
      </c>
      <c r="L6" s="120" t="s">
        <v>265</v>
      </c>
      <c r="N6" s="65">
        <v>0.05</v>
      </c>
      <c r="O6" s="89" t="s">
        <v>204</v>
      </c>
    </row>
    <row r="7" spans="1:18" s="60" customFormat="1" ht="43.15" x14ac:dyDescent="0.3">
      <c r="A7" s="105" t="s">
        <v>172</v>
      </c>
      <c r="B7" s="63">
        <v>82378</v>
      </c>
      <c r="C7" s="63">
        <v>82388</v>
      </c>
      <c r="D7" s="63">
        <v>82388</v>
      </c>
      <c r="E7" s="63">
        <v>82616</v>
      </c>
      <c r="F7" s="63">
        <f>AVERAGE(C7:E7)</f>
        <v>82464</v>
      </c>
      <c r="G7" s="63">
        <f>F7</f>
        <v>82464</v>
      </c>
      <c r="H7" s="63">
        <f t="shared" ref="H7:K8" si="2">G7</f>
        <v>82464</v>
      </c>
      <c r="I7" s="63">
        <f t="shared" si="2"/>
        <v>82464</v>
      </c>
      <c r="J7" s="63">
        <f t="shared" si="2"/>
        <v>82464</v>
      </c>
      <c r="K7" s="63">
        <f t="shared" si="2"/>
        <v>82464</v>
      </c>
      <c r="L7" s="89" t="s">
        <v>256</v>
      </c>
      <c r="N7" s="86">
        <v>0.85099999999999998</v>
      </c>
      <c r="O7" s="89" t="s">
        <v>168</v>
      </c>
    </row>
    <row r="8" spans="1:18" s="60" customFormat="1" ht="28.9" x14ac:dyDescent="0.3">
      <c r="A8" s="105" t="s">
        <v>173</v>
      </c>
      <c r="B8" s="67">
        <v>51641</v>
      </c>
      <c r="C8" s="67">
        <v>51641</v>
      </c>
      <c r="D8" s="67">
        <v>51641</v>
      </c>
      <c r="E8" s="67">
        <v>51641</v>
      </c>
      <c r="F8" s="63">
        <f>AVERAGE(C8:E8)</f>
        <v>51641</v>
      </c>
      <c r="G8" s="63">
        <f>F8</f>
        <v>51641</v>
      </c>
      <c r="H8" s="63">
        <f t="shared" si="2"/>
        <v>51641</v>
      </c>
      <c r="I8" s="63">
        <f t="shared" si="2"/>
        <v>51641</v>
      </c>
      <c r="J8" s="63">
        <f t="shared" si="2"/>
        <v>51641</v>
      </c>
      <c r="K8" s="63">
        <f t="shared" si="2"/>
        <v>51641</v>
      </c>
      <c r="L8" s="89" t="s">
        <v>251</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4.044941096252197E-3</v>
      </c>
      <c r="O9" s="89" t="s">
        <v>206</v>
      </c>
    </row>
    <row r="10" spans="1:18" s="60" customFormat="1" ht="15.6" x14ac:dyDescent="0.3">
      <c r="A10" s="105" t="s">
        <v>174</v>
      </c>
      <c r="B10" s="63">
        <f>B5*B9</f>
        <v>405280</v>
      </c>
      <c r="C10" s="63">
        <f t="shared" ref="C10:K10" si="3">C5*C9</f>
        <v>431640</v>
      </c>
      <c r="D10" s="63">
        <f t="shared" si="3"/>
        <v>445110</v>
      </c>
      <c r="E10" s="63">
        <f t="shared" si="3"/>
        <v>469950</v>
      </c>
      <c r="F10" s="63">
        <f t="shared" si="3"/>
        <v>495689.99999999994</v>
      </c>
      <c r="G10" s="63">
        <f t="shared" si="3"/>
        <v>508200</v>
      </c>
      <c r="H10" s="63">
        <f t="shared" si="3"/>
        <v>533669.96709148004</v>
      </c>
      <c r="I10" s="63">
        <f t="shared" si="3"/>
        <v>560184.47752198589</v>
      </c>
      <c r="J10" s="63">
        <f t="shared" si="3"/>
        <v>586904.75555123179</v>
      </c>
      <c r="K10" s="63">
        <f t="shared" si="3"/>
        <v>613832.03199640289</v>
      </c>
      <c r="L10" s="89" t="s">
        <v>207</v>
      </c>
      <c r="N10" s="68"/>
      <c r="O10" s="62"/>
    </row>
    <row r="11" spans="1:18" s="60" customFormat="1" ht="43.15" x14ac:dyDescent="0.3">
      <c r="A11" s="105" t="s">
        <v>175</v>
      </c>
      <c r="B11" s="63">
        <f>B3*$N$6</f>
        <v>63550</v>
      </c>
      <c r="C11" s="63">
        <f t="shared" ref="C11:K11" si="4">MAX(C3-SUM(C6:C8,C10), C3*$N$6)</f>
        <v>68723</v>
      </c>
      <c r="D11" s="63">
        <f t="shared" ref="D11:G11" si="5">D3*$N$6</f>
        <v>64100</v>
      </c>
      <c r="E11" s="63">
        <f t="shared" si="5"/>
        <v>64250</v>
      </c>
      <c r="F11" s="63">
        <f t="shared" si="5"/>
        <v>64450</v>
      </c>
      <c r="G11" s="63">
        <f t="shared" si="5"/>
        <v>64500</v>
      </c>
      <c r="H11" s="63">
        <f t="shared" si="4"/>
        <v>333837.41704049287</v>
      </c>
      <c r="I11" s="63">
        <f t="shared" si="4"/>
        <v>604151.36441639194</v>
      </c>
      <c r="J11" s="63">
        <f t="shared" si="4"/>
        <v>582683.20310975495</v>
      </c>
      <c r="K11" s="63">
        <f t="shared" si="4"/>
        <v>561029.28788996628</v>
      </c>
      <c r="L11" s="89" t="s">
        <v>275</v>
      </c>
      <c r="N11" s="68"/>
      <c r="O11" s="62"/>
    </row>
    <row r="12" spans="1:18" s="60" customFormat="1" ht="43.9" x14ac:dyDescent="0.35">
      <c r="A12" s="105" t="s">
        <v>197</v>
      </c>
      <c r="B12" s="63">
        <f t="shared" ref="B12:K12" si="6">B6*$N$3+B11*$N$2</f>
        <v>641299.54840000009</v>
      </c>
      <c r="C12" s="63">
        <f t="shared" si="6"/>
        <v>621011.58139999991</v>
      </c>
      <c r="D12" s="63">
        <f t="shared" si="6"/>
        <v>614547.24239999999</v>
      </c>
      <c r="E12" s="63">
        <f t="shared" si="6"/>
        <v>594207.54119999998</v>
      </c>
      <c r="F12" s="63">
        <f t="shared" si="6"/>
        <v>574284.522</v>
      </c>
      <c r="G12" s="63">
        <f t="shared" si="6"/>
        <v>563689.58799999999</v>
      </c>
      <c r="H12" s="63">
        <f t="shared" si="6"/>
        <v>413155.95537943055</v>
      </c>
      <c r="I12" s="63">
        <f t="shared" si="6"/>
        <v>263047.50406689703</v>
      </c>
      <c r="J12" s="63">
        <f t="shared" si="6"/>
        <v>253700.26663398731</v>
      </c>
      <c r="K12" s="63">
        <f t="shared" si="6"/>
        <v>244272.15194729134</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7">$K$13*B14</f>
        <v>0</v>
      </c>
      <c r="C15" s="88">
        <f t="shared" si="7"/>
        <v>0</v>
      </c>
      <c r="D15" s="88">
        <f t="shared" si="7"/>
        <v>0</v>
      </c>
      <c r="E15" s="88">
        <f t="shared" si="7"/>
        <v>0</v>
      </c>
      <c r="F15" s="88">
        <f t="shared" si="7"/>
        <v>0</v>
      </c>
      <c r="G15" s="88">
        <f t="shared" si="7"/>
        <v>0</v>
      </c>
      <c r="H15" s="88">
        <f t="shared" si="7"/>
        <v>0</v>
      </c>
      <c r="I15" s="88">
        <f t="shared" si="7"/>
        <v>0</v>
      </c>
      <c r="J15" s="88">
        <f t="shared" si="7"/>
        <v>0</v>
      </c>
      <c r="K15" s="88">
        <f t="shared" si="7"/>
        <v>0</v>
      </c>
      <c r="L15" s="108" t="s">
        <v>211</v>
      </c>
    </row>
    <row r="16" spans="1:18" s="60" customFormat="1" ht="30" x14ac:dyDescent="0.35">
      <c r="A16" s="105" t="s">
        <v>199</v>
      </c>
      <c r="B16" s="82">
        <f t="shared" ref="B16:K16" si="8">B12/B3</f>
        <v>0.50456298064516136</v>
      </c>
      <c r="C16" s="82">
        <f t="shared" si="8"/>
        <v>0.48592455508607191</v>
      </c>
      <c r="D16" s="82">
        <f t="shared" si="8"/>
        <v>0.47936602371294851</v>
      </c>
      <c r="E16" s="82">
        <f t="shared" si="8"/>
        <v>0.46241831999999999</v>
      </c>
      <c r="F16" s="82">
        <f t="shared" si="8"/>
        <v>0.44552716989914665</v>
      </c>
      <c r="G16" s="82">
        <f t="shared" si="8"/>
        <v>0.43696867286821706</v>
      </c>
      <c r="H16" s="82">
        <f t="shared" si="8"/>
        <v>0.3194809755546747</v>
      </c>
      <c r="I16" s="82">
        <f t="shared" si="8"/>
        <v>0.20258720734185046</v>
      </c>
      <c r="J16" s="82">
        <f t="shared" si="8"/>
        <v>0.19460124022957134</v>
      </c>
      <c r="K16" s="82">
        <f t="shared" si="8"/>
        <v>0.18661454327449503</v>
      </c>
      <c r="L16" s="89" t="s">
        <v>212</v>
      </c>
    </row>
    <row r="17" spans="1:12" s="60" customFormat="1" ht="33.75" thickBot="1" x14ac:dyDescent="0.4">
      <c r="A17" s="105" t="s">
        <v>200</v>
      </c>
      <c r="B17" s="81">
        <f>B15*B16</f>
        <v>0</v>
      </c>
      <c r="C17" s="81">
        <f t="shared" ref="C17:K17" si="9">C15*C16</f>
        <v>0</v>
      </c>
      <c r="D17" s="81">
        <f t="shared" si="9"/>
        <v>0</v>
      </c>
      <c r="E17" s="81">
        <f t="shared" si="9"/>
        <v>0</v>
      </c>
      <c r="F17" s="81">
        <f t="shared" si="9"/>
        <v>0</v>
      </c>
      <c r="G17" s="81">
        <f t="shared" si="9"/>
        <v>0</v>
      </c>
      <c r="H17" s="81">
        <f t="shared" si="9"/>
        <v>0</v>
      </c>
      <c r="I17" s="81">
        <f t="shared" si="9"/>
        <v>0</v>
      </c>
      <c r="J17" s="81">
        <f t="shared" si="9"/>
        <v>0</v>
      </c>
      <c r="K17" s="81">
        <f t="shared" si="9"/>
        <v>0</v>
      </c>
      <c r="L17" s="89" t="s">
        <v>213</v>
      </c>
    </row>
    <row r="18" spans="1:12" ht="45.75" thickBot="1" x14ac:dyDescent="0.3">
      <c r="A18" s="128" t="s">
        <v>201</v>
      </c>
      <c r="B18" s="84">
        <f t="shared" ref="B18:K18" si="10">B12*(B14/$N$7)-B17</f>
        <v>615677.70980352536</v>
      </c>
      <c r="C18" s="84">
        <f t="shared" si="10"/>
        <v>571389.03435511154</v>
      </c>
      <c r="D18" s="84">
        <f t="shared" si="10"/>
        <v>540888.23097250296</v>
      </c>
      <c r="E18" s="84">
        <f t="shared" si="10"/>
        <v>499246.05400470033</v>
      </c>
      <c r="F18" s="84">
        <f t="shared" si="10"/>
        <v>459562.58458519395</v>
      </c>
      <c r="G18" s="84">
        <f t="shared" si="10"/>
        <v>428563.059266745</v>
      </c>
      <c r="H18" s="84">
        <f t="shared" si="10"/>
        <v>298093.721037568</v>
      </c>
      <c r="I18" s="84">
        <f t="shared" si="10"/>
        <v>179280.32004559375</v>
      </c>
      <c r="J18" s="84">
        <f t="shared" si="10"/>
        <v>162773.6140800906</v>
      </c>
      <c r="K18" s="84">
        <f t="shared" si="10"/>
        <v>146678.10769102923</v>
      </c>
      <c r="L18" s="93" t="s">
        <v>214</v>
      </c>
    </row>
    <row r="19" spans="1:12" x14ac:dyDescent="0.25">
      <c r="A19" s="85"/>
      <c r="B19" s="85"/>
      <c r="C19" s="85"/>
      <c r="D19" s="85"/>
      <c r="E19" s="85"/>
      <c r="F19" s="85"/>
      <c r="G19" s="85"/>
      <c r="H19" s="85"/>
      <c r="I19" s="85"/>
      <c r="J19" s="85"/>
      <c r="K19" s="85"/>
    </row>
  </sheetData>
  <mergeCells count="3">
    <mergeCell ref="B1:L1"/>
    <mergeCell ref="N1:O1"/>
    <mergeCell ref="B13:J13"/>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33.140625" customWidth="1"/>
    <col min="2" max="11" width="8" bestFit="1" customWidth="1"/>
    <col min="12" max="12" width="49.28515625" style="3" customWidth="1"/>
    <col min="14" max="14" width="8.7109375" customWidth="1"/>
    <col min="15" max="15" width="34.140625" customWidth="1"/>
  </cols>
  <sheetData>
    <row r="1" spans="1:18" s="60" customFormat="1" ht="15.6" x14ac:dyDescent="0.3">
      <c r="A1" s="103" t="s">
        <v>28</v>
      </c>
      <c r="B1" s="141" t="s">
        <v>176</v>
      </c>
      <c r="C1" s="142"/>
      <c r="D1" s="142"/>
      <c r="E1" s="142"/>
      <c r="F1" s="142"/>
      <c r="G1" s="142"/>
      <c r="H1" s="142"/>
      <c r="I1" s="142"/>
      <c r="J1" s="142"/>
      <c r="K1" s="142"/>
      <c r="L1" s="143"/>
      <c r="N1" s="144" t="s">
        <v>196</v>
      </c>
      <c r="O1" s="145"/>
      <c r="P1" s="62"/>
    </row>
    <row r="2" spans="1:18" s="60" customFormat="1" ht="30"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58.9" x14ac:dyDescent="0.35">
      <c r="A3" s="105" t="s">
        <v>169</v>
      </c>
      <c r="B3" s="63">
        <v>23497.215181162228</v>
      </c>
      <c r="C3" s="67">
        <f t="shared" ref="C3:G3" si="0">B3*(1+$N$9)</f>
        <v>23606.278909406028</v>
      </c>
      <c r="D3" s="67">
        <f t="shared" si="0"/>
        <v>23715.848863461131</v>
      </c>
      <c r="E3" s="67">
        <f t="shared" si="0"/>
        <v>23825.927393004888</v>
      </c>
      <c r="F3" s="67">
        <f t="shared" si="0"/>
        <v>23936.516858620816</v>
      </c>
      <c r="G3" s="67">
        <f t="shared" si="0"/>
        <v>24047.619631849226</v>
      </c>
      <c r="H3" s="67">
        <f t="shared" ref="H3:K4" si="1">G3*(1+$N$9)</f>
        <v>24159.23809523807</v>
      </c>
      <c r="I3" s="67">
        <f t="shared" si="1"/>
        <v>24271.374642394039</v>
      </c>
      <c r="J3" s="67">
        <f t="shared" si="1"/>
        <v>24384.031678033894</v>
      </c>
      <c r="K3" s="67">
        <f t="shared" si="1"/>
        <v>24497.211618036035</v>
      </c>
      <c r="L3" s="89" t="s">
        <v>219</v>
      </c>
      <c r="N3" s="64">
        <v>0.91839999999999999</v>
      </c>
      <c r="O3" s="9" t="s">
        <v>203</v>
      </c>
    </row>
    <row r="4" spans="1:18" s="60" customFormat="1" ht="57.6" x14ac:dyDescent="0.3">
      <c r="A4" s="105" t="s">
        <v>170</v>
      </c>
      <c r="B4" s="63">
        <f>SUMIFS('Form 1.1c'!J:J,'Form 1.1c'!$B:$B,"Island Energy/Pittsburg")*1000</f>
        <v>21000</v>
      </c>
      <c r="C4" s="63">
        <f>SUMIFS('Form 1.1c'!K:K,'Form 1.1c'!$B:$B,"Island Energy/Pittsburg")*1000</f>
        <v>21000</v>
      </c>
      <c r="D4" s="63">
        <f>SUMIFS('Form 1.1c'!L:L,'Form 1.1c'!$B:$B,"Island Energy/Pittsburg")*1000</f>
        <v>21000</v>
      </c>
      <c r="E4" s="63">
        <f>SUMIFS('Form 1.1c'!M:M,'Form 1.1c'!$B:$B,"Island Energy/Pittsburg")*1000</f>
        <v>21000</v>
      </c>
      <c r="F4" s="63">
        <f>SUMIFS('Form 1.1c'!N:N,'Form 1.1c'!$B:$B,"Island Energy/Pittsburg")*1000</f>
        <v>21000</v>
      </c>
      <c r="G4" s="63">
        <f>SUMIFS('Form 1.1c'!O:O,'Form 1.1c'!$B:$B,"Island Energy/Pittsburg")*1000</f>
        <v>21000</v>
      </c>
      <c r="H4" s="67">
        <f>AVERAGE(E4:G4)*(1+$N$9)</f>
        <v>21097.472754769511</v>
      </c>
      <c r="I4" s="63">
        <f t="shared" si="1"/>
        <v>21195.397935154371</v>
      </c>
      <c r="J4" s="63">
        <f t="shared" si="1"/>
        <v>21293.77764111511</v>
      </c>
      <c r="K4" s="63">
        <f t="shared" si="1"/>
        <v>21392.613982359344</v>
      </c>
      <c r="L4" s="89" t="s">
        <v>222</v>
      </c>
      <c r="N4" s="70">
        <f>0.15</f>
        <v>0.15</v>
      </c>
      <c r="O4" s="89" t="s">
        <v>166</v>
      </c>
    </row>
    <row r="5" spans="1:18" s="60" customFormat="1" ht="28.9" x14ac:dyDescent="0.3">
      <c r="A5" s="105" t="s">
        <v>194</v>
      </c>
      <c r="B5" s="63">
        <f>IF(AND(0&lt;(B3-B4)/B3,(B3-B4)/B3&lt;$N$4),B4,B3*(1-$N$5))</f>
        <v>21000</v>
      </c>
      <c r="C5" s="63">
        <f t="shared" ref="C5:K5" si="2">IF(AND(0&lt;(C3-C4)/C3,(C3-C4)/C3&lt;$N$4),C4,C3*(1-$N$5))</f>
        <v>21000</v>
      </c>
      <c r="D5" s="63">
        <f t="shared" si="2"/>
        <v>21000</v>
      </c>
      <c r="E5" s="63">
        <f t="shared" si="2"/>
        <v>21000</v>
      </c>
      <c r="F5" s="63">
        <f t="shared" si="2"/>
        <v>21000</v>
      </c>
      <c r="G5" s="63">
        <f t="shared" si="2"/>
        <v>21000</v>
      </c>
      <c r="H5" s="63">
        <f t="shared" si="2"/>
        <v>21097.472754769511</v>
      </c>
      <c r="I5" s="63">
        <f t="shared" si="2"/>
        <v>21195.397935154371</v>
      </c>
      <c r="J5" s="63">
        <f t="shared" si="2"/>
        <v>21293.77764111511</v>
      </c>
      <c r="K5" s="63">
        <f t="shared" si="2"/>
        <v>21392.613982359344</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14.45" x14ac:dyDescent="0.3">
      <c r="A8" s="105" t="s">
        <v>173</v>
      </c>
      <c r="B8" s="63">
        <v>5220</v>
      </c>
      <c r="C8" s="67">
        <f>B8</f>
        <v>5220</v>
      </c>
      <c r="D8" s="67">
        <f t="shared" ref="D8:K8" si="3">C8</f>
        <v>5220</v>
      </c>
      <c r="E8" s="67">
        <f t="shared" si="3"/>
        <v>5220</v>
      </c>
      <c r="F8" s="67">
        <f t="shared" si="3"/>
        <v>5220</v>
      </c>
      <c r="G8" s="67">
        <f t="shared" si="3"/>
        <v>5220</v>
      </c>
      <c r="H8" s="67">
        <f t="shared" si="3"/>
        <v>5220</v>
      </c>
      <c r="I8" s="67">
        <f t="shared" si="3"/>
        <v>5220</v>
      </c>
      <c r="J8" s="67">
        <f t="shared" si="3"/>
        <v>5220</v>
      </c>
      <c r="K8" s="67">
        <f t="shared" si="3"/>
        <v>5220</v>
      </c>
      <c r="L8" s="89" t="s">
        <v>258</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4.6415597509290585E-3</v>
      </c>
      <c r="O9" s="89" t="s">
        <v>206</v>
      </c>
    </row>
    <row r="10" spans="1:18" s="60" customFormat="1" ht="15.6" x14ac:dyDescent="0.3">
      <c r="A10" s="105" t="s">
        <v>174</v>
      </c>
      <c r="B10" s="63">
        <f t="shared" ref="B10:K10" si="4">B5*B9</f>
        <v>7140.0000000000009</v>
      </c>
      <c r="C10" s="63">
        <f t="shared" si="4"/>
        <v>7560</v>
      </c>
      <c r="D10" s="63">
        <f t="shared" si="4"/>
        <v>7770</v>
      </c>
      <c r="E10" s="63">
        <f t="shared" si="4"/>
        <v>8190</v>
      </c>
      <c r="F10" s="63">
        <f t="shared" si="4"/>
        <v>8610</v>
      </c>
      <c r="G10" s="63">
        <f t="shared" si="4"/>
        <v>8820</v>
      </c>
      <c r="H10" s="63">
        <f t="shared" si="4"/>
        <v>9282.888012098585</v>
      </c>
      <c r="I10" s="63">
        <f t="shared" si="4"/>
        <v>9749.8830501710108</v>
      </c>
      <c r="J10" s="63">
        <f t="shared" si="4"/>
        <v>10221.013267735252</v>
      </c>
      <c r="K10" s="63">
        <f t="shared" si="4"/>
        <v>10696.306991179672</v>
      </c>
      <c r="L10" s="89" t="s">
        <v>207</v>
      </c>
      <c r="N10" s="68"/>
      <c r="O10" s="62"/>
    </row>
    <row r="11" spans="1:18" s="60" customFormat="1" ht="28.9" x14ac:dyDescent="0.3">
      <c r="A11" s="105" t="s">
        <v>175</v>
      </c>
      <c r="B11" s="63">
        <f t="shared" ref="B11:K11" si="5">MAX(B3-SUM(B6:B8,B10), B3*$N$6)</f>
        <v>11137.215181162228</v>
      </c>
      <c r="C11" s="63">
        <f t="shared" si="5"/>
        <v>10826.278909406028</v>
      </c>
      <c r="D11" s="63">
        <f t="shared" si="5"/>
        <v>10725.848863461131</v>
      </c>
      <c r="E11" s="63">
        <f t="shared" si="5"/>
        <v>10415.927393004888</v>
      </c>
      <c r="F11" s="63">
        <f t="shared" si="5"/>
        <v>10106.516858620816</v>
      </c>
      <c r="G11" s="63">
        <f t="shared" si="5"/>
        <v>10007.619631849226</v>
      </c>
      <c r="H11" s="63">
        <f t="shared" si="5"/>
        <v>9656.3500831394849</v>
      </c>
      <c r="I11" s="63">
        <f t="shared" si="5"/>
        <v>9301.4915922230284</v>
      </c>
      <c r="J11" s="63">
        <f t="shared" si="5"/>
        <v>8943.0184102986423</v>
      </c>
      <c r="K11" s="63">
        <f t="shared" si="5"/>
        <v>8580.9046268563634</v>
      </c>
      <c r="L11" s="89" t="s">
        <v>208</v>
      </c>
      <c r="N11" s="68"/>
      <c r="O11" s="62"/>
    </row>
    <row r="12" spans="1:18" s="60" customFormat="1" ht="43.9" x14ac:dyDescent="0.35">
      <c r="A12" s="105" t="s">
        <v>197</v>
      </c>
      <c r="B12" s="63">
        <f t="shared" ref="B12:K12" si="6">B6*$N$3+B11*$N$2</f>
        <v>4849.1434898780344</v>
      </c>
      <c r="C12" s="63">
        <f t="shared" si="6"/>
        <v>4713.7618371553845</v>
      </c>
      <c r="D12" s="63">
        <f t="shared" si="6"/>
        <v>4670.0345951509762</v>
      </c>
      <c r="E12" s="63">
        <f t="shared" si="6"/>
        <v>4535.0947869143283</v>
      </c>
      <c r="F12" s="63">
        <f t="shared" si="6"/>
        <v>4400.3774402435038</v>
      </c>
      <c r="G12" s="63">
        <f t="shared" si="6"/>
        <v>4357.3175877071526</v>
      </c>
      <c r="H12" s="63">
        <f t="shared" si="6"/>
        <v>4204.3748261989322</v>
      </c>
      <c r="I12" s="63">
        <f t="shared" si="6"/>
        <v>4049.8694392539069</v>
      </c>
      <c r="J12" s="63">
        <f t="shared" si="6"/>
        <v>3893.7902158440288</v>
      </c>
      <c r="K12" s="63">
        <f t="shared" si="6"/>
        <v>3736.1258745332607</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107" t="s">
        <v>215</v>
      </c>
      <c r="N14" s="60"/>
      <c r="O14" s="60"/>
      <c r="P14" s="60"/>
      <c r="Q14" s="60"/>
      <c r="R14" s="60"/>
    </row>
    <row r="15" spans="1:18" s="60" customFormat="1" ht="28.9" x14ac:dyDescent="0.3">
      <c r="A15" s="105" t="s">
        <v>198</v>
      </c>
      <c r="B15" s="88">
        <f t="shared" ref="B15:K15" si="7">$K$13*B14</f>
        <v>0</v>
      </c>
      <c r="C15" s="88">
        <f t="shared" si="7"/>
        <v>0</v>
      </c>
      <c r="D15" s="88">
        <f t="shared" si="7"/>
        <v>0</v>
      </c>
      <c r="E15" s="88">
        <f t="shared" si="7"/>
        <v>0</v>
      </c>
      <c r="F15" s="88">
        <f t="shared" si="7"/>
        <v>0</v>
      </c>
      <c r="G15" s="88">
        <f t="shared" si="7"/>
        <v>0</v>
      </c>
      <c r="H15" s="88">
        <f t="shared" si="7"/>
        <v>0</v>
      </c>
      <c r="I15" s="88">
        <f t="shared" si="7"/>
        <v>0</v>
      </c>
      <c r="J15" s="88">
        <f t="shared" si="7"/>
        <v>0</v>
      </c>
      <c r="K15" s="88">
        <f t="shared" si="7"/>
        <v>0</v>
      </c>
      <c r="L15" s="108" t="s">
        <v>211</v>
      </c>
    </row>
    <row r="16" spans="1:18" s="60" customFormat="1" ht="30" x14ac:dyDescent="0.35">
      <c r="A16" s="105" t="s">
        <v>199</v>
      </c>
      <c r="B16" s="82">
        <f t="shared" ref="B16:K16" si="8">B12/B3</f>
        <v>0.20637098705065288</v>
      </c>
      <c r="C16" s="82">
        <f t="shared" si="8"/>
        <v>0.19968254443003997</v>
      </c>
      <c r="D16" s="82">
        <f t="shared" si="8"/>
        <v>0.1969161897614414</v>
      </c>
      <c r="E16" s="82">
        <f t="shared" si="8"/>
        <v>0.19034284425150216</v>
      </c>
      <c r="F16" s="82">
        <f t="shared" si="8"/>
        <v>0.18383532851642503</v>
      </c>
      <c r="G16" s="82">
        <f t="shared" si="8"/>
        <v>0.18119538043325586</v>
      </c>
      <c r="H16" s="82">
        <f t="shared" si="8"/>
        <v>0.1740276249451608</v>
      </c>
      <c r="I16" s="82">
        <f t="shared" si="8"/>
        <v>0.16685785205507597</v>
      </c>
      <c r="J16" s="82">
        <f t="shared" si="8"/>
        <v>0.15968607108363092</v>
      </c>
      <c r="K16" s="82">
        <f t="shared" si="8"/>
        <v>0.15251229130839297</v>
      </c>
      <c r="L16" s="89" t="s">
        <v>212</v>
      </c>
    </row>
    <row r="17" spans="1:18" s="60" customFormat="1" ht="30.6" thickBot="1" x14ac:dyDescent="0.4">
      <c r="A17" s="105" t="s">
        <v>200</v>
      </c>
      <c r="B17" s="81">
        <f>B15*B16</f>
        <v>0</v>
      </c>
      <c r="C17" s="81">
        <f t="shared" ref="C17:K17" si="9">C15*C16</f>
        <v>0</v>
      </c>
      <c r="D17" s="81">
        <f t="shared" si="9"/>
        <v>0</v>
      </c>
      <c r="E17" s="81">
        <f t="shared" si="9"/>
        <v>0</v>
      </c>
      <c r="F17" s="81">
        <f t="shared" si="9"/>
        <v>0</v>
      </c>
      <c r="G17" s="81">
        <f t="shared" si="9"/>
        <v>0</v>
      </c>
      <c r="H17" s="81">
        <f t="shared" si="9"/>
        <v>0</v>
      </c>
      <c r="I17" s="81">
        <f t="shared" si="9"/>
        <v>0</v>
      </c>
      <c r="J17" s="81">
        <f t="shared" si="9"/>
        <v>0</v>
      </c>
      <c r="K17" s="81">
        <f t="shared" si="9"/>
        <v>0</v>
      </c>
      <c r="L17" s="89" t="s">
        <v>213</v>
      </c>
    </row>
    <row r="18" spans="1:18" ht="43.9" thickBot="1" x14ac:dyDescent="0.35">
      <c r="A18" s="128" t="s">
        <v>201</v>
      </c>
      <c r="B18" s="84">
        <f t="shared" ref="B18:K18" si="10">B12*(B14/$N$7)-B17</f>
        <v>4655.40567712145</v>
      </c>
      <c r="C18" s="84">
        <f t="shared" si="10"/>
        <v>4337.1040170301603</v>
      </c>
      <c r="D18" s="84">
        <f t="shared" si="10"/>
        <v>4110.2889680000953</v>
      </c>
      <c r="E18" s="84">
        <f t="shared" si="10"/>
        <v>3810.3322827776083</v>
      </c>
      <c r="F18" s="84">
        <f t="shared" si="10"/>
        <v>3521.3361184557302</v>
      </c>
      <c r="G18" s="84">
        <f t="shared" si="10"/>
        <v>3312.7902223813489</v>
      </c>
      <c r="H18" s="84">
        <f t="shared" si="10"/>
        <v>3033.4737288908864</v>
      </c>
      <c r="I18" s="84">
        <f t="shared" si="10"/>
        <v>2760.1930373293371</v>
      </c>
      <c r="J18" s="84">
        <f t="shared" si="10"/>
        <v>2498.2484816108577</v>
      </c>
      <c r="K18" s="84">
        <f t="shared" si="10"/>
        <v>2243.4316355893025</v>
      </c>
      <c r="L18" s="93" t="s">
        <v>214</v>
      </c>
      <c r="N18" s="60"/>
      <c r="O18" s="60"/>
      <c r="P18" s="60"/>
      <c r="Q18" s="60"/>
      <c r="R18" s="60"/>
    </row>
    <row r="19" spans="1:18" ht="14.45" x14ac:dyDescent="0.3">
      <c r="A19" s="85"/>
      <c r="B19" s="85"/>
      <c r="C19" s="85"/>
      <c r="D19" s="85"/>
      <c r="E19" s="85"/>
      <c r="F19" s="85"/>
      <c r="G19" s="85"/>
      <c r="H19" s="85"/>
      <c r="I19" s="85"/>
      <c r="J19" s="85"/>
      <c r="K19" s="85"/>
      <c r="N19" s="60"/>
      <c r="O19" s="60"/>
      <c r="P19" s="60"/>
      <c r="Q19" s="60"/>
      <c r="R19" s="60"/>
    </row>
  </sheetData>
  <mergeCells count="3">
    <mergeCell ref="B1:L1"/>
    <mergeCell ref="N1:O1"/>
    <mergeCell ref="B13:J1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defaultRowHeight="15" x14ac:dyDescent="0.25"/>
  <cols>
    <col min="1" max="1" width="37.7109375" customWidth="1"/>
    <col min="2" max="11" width="11.42578125" customWidth="1"/>
    <col min="12" max="12" width="49.28515625" customWidth="1"/>
    <col min="15" max="15" width="36.5703125" customWidth="1"/>
  </cols>
  <sheetData>
    <row r="1" spans="1:15" s="60" customFormat="1" ht="14.45" x14ac:dyDescent="0.3">
      <c r="A1" s="103" t="s">
        <v>189</v>
      </c>
      <c r="B1" s="141" t="s">
        <v>176</v>
      </c>
      <c r="C1" s="142"/>
      <c r="D1" s="142"/>
      <c r="E1" s="142"/>
      <c r="F1" s="142"/>
      <c r="G1" s="142"/>
      <c r="H1" s="142"/>
      <c r="I1" s="142"/>
      <c r="J1" s="142"/>
      <c r="K1" s="142"/>
      <c r="L1" s="143"/>
      <c r="N1" s="144" t="s">
        <v>196</v>
      </c>
      <c r="O1" s="145"/>
    </row>
    <row r="2" spans="1:15" s="60" customFormat="1" ht="14.45" x14ac:dyDescent="0.3">
      <c r="A2" s="104" t="s">
        <v>152</v>
      </c>
      <c r="B2" s="125">
        <v>2021</v>
      </c>
      <c r="C2" s="125">
        <v>2022</v>
      </c>
      <c r="D2" s="125">
        <v>2023</v>
      </c>
      <c r="E2" s="125">
        <v>2024</v>
      </c>
      <c r="F2" s="125">
        <v>2025</v>
      </c>
      <c r="G2" s="125">
        <v>2026</v>
      </c>
      <c r="H2" s="125">
        <v>2027</v>
      </c>
      <c r="I2" s="125">
        <v>2028</v>
      </c>
      <c r="J2" s="125">
        <v>2029</v>
      </c>
      <c r="K2" s="124">
        <v>2030</v>
      </c>
      <c r="L2" s="92" t="s">
        <v>177</v>
      </c>
      <c r="N2" s="61">
        <v>0.43540000000000001</v>
      </c>
      <c r="O2" s="61" t="s">
        <v>273</v>
      </c>
    </row>
    <row r="3" spans="1:15" s="60" customFormat="1" ht="72.599999999999994" x14ac:dyDescent="0.35">
      <c r="A3" s="105" t="s">
        <v>169</v>
      </c>
      <c r="B3" s="63">
        <v>164636.20416845838</v>
      </c>
      <c r="C3" s="63">
        <v>164835.21127022078</v>
      </c>
      <c r="D3" s="63">
        <v>164871.4948480053</v>
      </c>
      <c r="E3" s="63">
        <v>164950.88</v>
      </c>
      <c r="F3" s="63">
        <v>164950.88</v>
      </c>
      <c r="G3" s="63">
        <v>164851.51200000002</v>
      </c>
      <c r="H3" s="67">
        <f>AVERAGE(E3:G3)*(1+$N$9)</f>
        <v>165589.65269083102</v>
      </c>
      <c r="I3" s="67">
        <f t="shared" ref="I3:K4" si="0">H3*(1+$N$9)</f>
        <v>166264.28543318479</v>
      </c>
      <c r="J3" s="67">
        <f t="shared" si="0"/>
        <v>166941.66671283942</v>
      </c>
      <c r="K3" s="67">
        <f t="shared" si="0"/>
        <v>167621.80772767609</v>
      </c>
      <c r="L3" s="89" t="s">
        <v>272</v>
      </c>
      <c r="N3" s="64">
        <v>0.91839999999999999</v>
      </c>
      <c r="O3" s="9" t="s">
        <v>203</v>
      </c>
    </row>
    <row r="4" spans="1:15" s="60" customFormat="1" ht="57.6" x14ac:dyDescent="0.3">
      <c r="A4" s="105" t="s">
        <v>170</v>
      </c>
      <c r="B4" s="63">
        <f>SUMIFS('Form 1.1c'!J:J, 'Form 1.1c'!$B:$B, "Plumas-Sierra Rural Electric Cooperation")*1000</f>
        <v>153000</v>
      </c>
      <c r="C4" s="63">
        <f>SUMIFS('Form 1.1c'!K:K, 'Form 1.1c'!$B:$B, "Plumas-Sierra Rural Electric Cooperation")*1000</f>
        <v>154000</v>
      </c>
      <c r="D4" s="63">
        <f>SUMIFS('Form 1.1c'!L:L, 'Form 1.1c'!$B:$B, "Plumas-Sierra Rural Electric Cooperation")*1000</f>
        <v>155000</v>
      </c>
      <c r="E4" s="63">
        <f>SUMIFS('Form 1.1c'!M:M, 'Form 1.1c'!$B:$B, "Plumas-Sierra Rural Electric Cooperation")*1000</f>
        <v>156000</v>
      </c>
      <c r="F4" s="63">
        <f>SUMIFS('Form 1.1c'!N:N, 'Form 1.1c'!$B:$B, "Plumas-Sierra Rural Electric Cooperation")*1000</f>
        <v>156000</v>
      </c>
      <c r="G4" s="63">
        <f>SUMIFS('Form 1.1c'!O:O, 'Form 1.1c'!$B:$B, "Plumas-Sierra Rural Electric Cooperation")*1000</f>
        <v>157000</v>
      </c>
      <c r="H4" s="67">
        <f>AVERAGE(E4:G4)*(1+$N$9)</f>
        <v>156970.25468484371</v>
      </c>
      <c r="I4" s="63">
        <f t="shared" si="0"/>
        <v>157609.77093278058</v>
      </c>
      <c r="J4" s="63">
        <f t="shared" si="0"/>
        <v>158251.89264907318</v>
      </c>
      <c r="K4" s="63">
        <f t="shared" si="0"/>
        <v>158896.63044872214</v>
      </c>
      <c r="L4" s="89" t="s">
        <v>222</v>
      </c>
      <c r="N4" s="70">
        <f>0.15</f>
        <v>0.15</v>
      </c>
      <c r="O4" s="61" t="s">
        <v>166</v>
      </c>
    </row>
    <row r="5" spans="1:15" s="60" customFormat="1" ht="28.9" x14ac:dyDescent="0.3">
      <c r="A5" s="105" t="s">
        <v>194</v>
      </c>
      <c r="B5" s="63">
        <f t="shared" ref="B5:K5" si="1">IF(AND(0&lt;(B3-B4)/B3,(B3-B4)/B3&lt;$N$4),B4,B3*(1-$N$5))</f>
        <v>153000</v>
      </c>
      <c r="C5" s="63">
        <f t="shared" si="1"/>
        <v>154000</v>
      </c>
      <c r="D5" s="63">
        <f t="shared" si="1"/>
        <v>155000</v>
      </c>
      <c r="E5" s="63">
        <f t="shared" si="1"/>
        <v>156000</v>
      </c>
      <c r="F5" s="63">
        <f t="shared" si="1"/>
        <v>156000</v>
      </c>
      <c r="G5" s="63">
        <f t="shared" si="1"/>
        <v>157000</v>
      </c>
      <c r="H5" s="63">
        <f t="shared" si="1"/>
        <v>156970.25468484371</v>
      </c>
      <c r="I5" s="63">
        <f t="shared" si="1"/>
        <v>157609.77093278058</v>
      </c>
      <c r="J5" s="63">
        <f t="shared" si="1"/>
        <v>158251.89264907318</v>
      </c>
      <c r="K5" s="63">
        <f t="shared" si="1"/>
        <v>158896.63044872214</v>
      </c>
      <c r="L5" s="89" t="s">
        <v>271</v>
      </c>
      <c r="N5" s="70">
        <f>0.07</f>
        <v>7.0000000000000007E-2</v>
      </c>
      <c r="O5" s="61" t="s">
        <v>270</v>
      </c>
    </row>
    <row r="6" spans="1:15" s="60" customFormat="1" ht="14.45" x14ac:dyDescent="0.3">
      <c r="A6" s="105" t="s">
        <v>171</v>
      </c>
      <c r="B6" s="63">
        <v>0</v>
      </c>
      <c r="C6" s="63">
        <v>0</v>
      </c>
      <c r="D6" s="63">
        <v>0</v>
      </c>
      <c r="E6" s="63">
        <v>0</v>
      </c>
      <c r="F6" s="63">
        <v>0</v>
      </c>
      <c r="G6" s="63">
        <v>0</v>
      </c>
      <c r="H6" s="63">
        <v>0</v>
      </c>
      <c r="I6" s="63">
        <v>0</v>
      </c>
      <c r="J6" s="63">
        <v>0</v>
      </c>
      <c r="K6" s="63">
        <v>0</v>
      </c>
      <c r="L6" s="120" t="s">
        <v>269</v>
      </c>
      <c r="N6" s="65">
        <v>0.05</v>
      </c>
      <c r="O6" s="61" t="s">
        <v>268</v>
      </c>
    </row>
    <row r="7" spans="1:15" s="60" customFormat="1" ht="14.45" x14ac:dyDescent="0.3">
      <c r="A7" s="105" t="s">
        <v>172</v>
      </c>
      <c r="B7" s="63">
        <v>0</v>
      </c>
      <c r="C7" s="63">
        <v>0</v>
      </c>
      <c r="D7" s="63">
        <v>0</v>
      </c>
      <c r="E7" s="63">
        <v>0</v>
      </c>
      <c r="F7" s="63">
        <v>0</v>
      </c>
      <c r="G7" s="63">
        <v>0</v>
      </c>
      <c r="H7" s="63">
        <v>0</v>
      </c>
      <c r="I7" s="63">
        <v>0</v>
      </c>
      <c r="J7" s="63">
        <v>0</v>
      </c>
      <c r="K7" s="63">
        <v>0</v>
      </c>
      <c r="L7" s="120" t="s">
        <v>267</v>
      </c>
      <c r="N7" s="86">
        <v>0.85099999999999998</v>
      </c>
      <c r="O7" s="61" t="s">
        <v>168</v>
      </c>
    </row>
    <row r="8" spans="1:15" s="60" customFormat="1" ht="43.15" x14ac:dyDescent="0.3">
      <c r="A8" s="105" t="s">
        <v>173</v>
      </c>
      <c r="B8" s="63">
        <v>48813</v>
      </c>
      <c r="C8" s="63">
        <v>48885</v>
      </c>
      <c r="D8" s="63">
        <v>48887</v>
      </c>
      <c r="E8" s="63">
        <v>48897.000000000007</v>
      </c>
      <c r="F8" s="63">
        <v>48913.999999999993</v>
      </c>
      <c r="G8" s="63">
        <v>48903.000000000007</v>
      </c>
      <c r="H8" s="67">
        <f>AVERAGE(E8:G8)</f>
        <v>48904.666666666664</v>
      </c>
      <c r="I8" s="67">
        <f t="shared" ref="I8:K8" si="2">H8</f>
        <v>48904.666666666664</v>
      </c>
      <c r="J8" s="67">
        <f t="shared" si="2"/>
        <v>48904.666666666664</v>
      </c>
      <c r="K8" s="67">
        <f t="shared" si="2"/>
        <v>48904.666666666664</v>
      </c>
      <c r="L8" s="89" t="s">
        <v>266</v>
      </c>
    </row>
    <row r="9" spans="1:15" s="60" customFormat="1" ht="28.9" x14ac:dyDescent="0.3">
      <c r="A9" s="105" t="s">
        <v>153</v>
      </c>
      <c r="B9" s="73">
        <v>0.34</v>
      </c>
      <c r="C9" s="59">
        <v>0.36</v>
      </c>
      <c r="D9" s="59">
        <v>0.37</v>
      </c>
      <c r="E9" s="59">
        <v>0.39</v>
      </c>
      <c r="F9" s="59">
        <v>0.41</v>
      </c>
      <c r="G9" s="59">
        <v>0.42</v>
      </c>
      <c r="H9" s="59">
        <v>0.44</v>
      </c>
      <c r="I9" s="59">
        <v>0.46</v>
      </c>
      <c r="J9" s="59">
        <v>0.48</v>
      </c>
      <c r="K9" s="59">
        <v>0.5</v>
      </c>
      <c r="L9" s="89" t="s">
        <v>248</v>
      </c>
      <c r="N9" s="66">
        <v>4.0741237836483535E-3</v>
      </c>
      <c r="O9" s="89" t="s">
        <v>206</v>
      </c>
    </row>
    <row r="10" spans="1:15" s="60" customFormat="1" ht="15.6" x14ac:dyDescent="0.3">
      <c r="A10" s="105" t="s">
        <v>174</v>
      </c>
      <c r="B10" s="63">
        <f t="shared" ref="B10:K10" si="3">B5*B9</f>
        <v>52020.000000000007</v>
      </c>
      <c r="C10" s="63">
        <f t="shared" si="3"/>
        <v>55440</v>
      </c>
      <c r="D10" s="63">
        <f t="shared" si="3"/>
        <v>57350</v>
      </c>
      <c r="E10" s="63">
        <f t="shared" si="3"/>
        <v>60840</v>
      </c>
      <c r="F10" s="63">
        <f t="shared" si="3"/>
        <v>63959.999999999993</v>
      </c>
      <c r="G10" s="63">
        <f t="shared" si="3"/>
        <v>65940</v>
      </c>
      <c r="H10" s="63">
        <f t="shared" si="3"/>
        <v>69066.912061331226</v>
      </c>
      <c r="I10" s="63">
        <f t="shared" si="3"/>
        <v>72500.494629079069</v>
      </c>
      <c r="J10" s="63">
        <f t="shared" si="3"/>
        <v>75960.908471555129</v>
      </c>
      <c r="K10" s="63">
        <f t="shared" si="3"/>
        <v>79448.315224361068</v>
      </c>
      <c r="L10" s="89" t="s">
        <v>207</v>
      </c>
      <c r="N10" s="68"/>
      <c r="O10" s="62"/>
    </row>
    <row r="11" spans="1:15" s="60" customFormat="1" ht="28.9" x14ac:dyDescent="0.3">
      <c r="A11" s="105" t="s">
        <v>175</v>
      </c>
      <c r="B11" s="63">
        <f t="shared" ref="B11:K11" si="4">MAX(B3-SUM(B6:B8,B10), B3*$N$6)</f>
        <v>63803.204168458382</v>
      </c>
      <c r="C11" s="63">
        <f t="shared" si="4"/>
        <v>60510.211270220781</v>
      </c>
      <c r="D11" s="63">
        <f t="shared" si="4"/>
        <v>58634.494848005299</v>
      </c>
      <c r="E11" s="63">
        <f t="shared" si="4"/>
        <v>55213.880000000005</v>
      </c>
      <c r="F11" s="63">
        <f t="shared" si="4"/>
        <v>52076.880000000019</v>
      </c>
      <c r="G11" s="63">
        <f t="shared" si="4"/>
        <v>50008.512000000017</v>
      </c>
      <c r="H11" s="63">
        <f t="shared" si="4"/>
        <v>47618.073962833121</v>
      </c>
      <c r="I11" s="63">
        <f t="shared" si="4"/>
        <v>44859.124137439067</v>
      </c>
      <c r="J11" s="63">
        <f t="shared" si="4"/>
        <v>42076.091574617632</v>
      </c>
      <c r="K11" s="63">
        <f t="shared" si="4"/>
        <v>39268.82583664835</v>
      </c>
      <c r="L11" s="89" t="s">
        <v>208</v>
      </c>
      <c r="N11" s="68"/>
      <c r="O11" s="62"/>
    </row>
    <row r="12" spans="1:15" s="60" customFormat="1" ht="43.9" x14ac:dyDescent="0.35">
      <c r="A12" s="105" t="s">
        <v>197</v>
      </c>
      <c r="B12" s="63">
        <f t="shared" ref="B12:K12" si="5">B6*$N$3+B11*$N$2</f>
        <v>27779.91509494678</v>
      </c>
      <c r="C12" s="63">
        <f t="shared" si="5"/>
        <v>26346.145987054129</v>
      </c>
      <c r="D12" s="63">
        <f t="shared" si="5"/>
        <v>25529.459056821506</v>
      </c>
      <c r="E12" s="63">
        <f t="shared" si="5"/>
        <v>24040.123352000002</v>
      </c>
      <c r="F12" s="63">
        <f t="shared" si="5"/>
        <v>22674.27355200001</v>
      </c>
      <c r="G12" s="63">
        <f t="shared" si="5"/>
        <v>21773.706124800006</v>
      </c>
      <c r="H12" s="63">
        <f t="shared" si="5"/>
        <v>20732.909403417543</v>
      </c>
      <c r="I12" s="63">
        <f t="shared" si="5"/>
        <v>19531.662649440968</v>
      </c>
      <c r="J12" s="63">
        <f t="shared" si="5"/>
        <v>18319.930271588517</v>
      </c>
      <c r="K12" s="63">
        <f t="shared" si="5"/>
        <v>17097.646769276693</v>
      </c>
      <c r="L12" s="108" t="s">
        <v>209</v>
      </c>
    </row>
    <row r="13" spans="1:15" s="60" customFormat="1" ht="86.45" x14ac:dyDescent="0.3">
      <c r="A13" s="105"/>
      <c r="B13" s="146" t="s">
        <v>210</v>
      </c>
      <c r="C13" s="147"/>
      <c r="D13" s="147"/>
      <c r="E13" s="147"/>
      <c r="F13" s="147"/>
      <c r="G13" s="147"/>
      <c r="H13" s="147"/>
      <c r="I13" s="147"/>
      <c r="J13" s="148"/>
      <c r="K13" s="87">
        <v>0</v>
      </c>
      <c r="L13" s="108" t="s">
        <v>216</v>
      </c>
    </row>
    <row r="14" spans="1:15" s="60" customFormat="1"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row>
    <row r="15" spans="1:15"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5" s="60" customFormat="1" ht="30" x14ac:dyDescent="0.35">
      <c r="A16" s="105" t="s">
        <v>199</v>
      </c>
      <c r="B16" s="82">
        <f>B12/B3</f>
        <v>0.16873515297110428</v>
      </c>
      <c r="C16" s="82">
        <f t="shared" ref="C16:K16" si="7">C12/C3</f>
        <v>0.15983324062881119</v>
      </c>
      <c r="D16" s="82">
        <f t="shared" si="7"/>
        <v>0.1548445902086171</v>
      </c>
      <c r="E16" s="82">
        <f t="shared" si="7"/>
        <v>0.14574110396986062</v>
      </c>
      <c r="F16" s="82">
        <f t="shared" si="7"/>
        <v>0.13746076136120042</v>
      </c>
      <c r="G16" s="82">
        <f t="shared" si="7"/>
        <v>0.13208071834245599</v>
      </c>
      <c r="H16" s="82">
        <f t="shared" si="7"/>
        <v>0.12520655165650674</v>
      </c>
      <c r="I16" s="82">
        <f t="shared" si="7"/>
        <v>0.11747359090711029</v>
      </c>
      <c r="J16" s="82">
        <f t="shared" si="7"/>
        <v>0.10973851305259275</v>
      </c>
      <c r="K16" s="82">
        <f t="shared" si="7"/>
        <v>0.10200132668330419</v>
      </c>
      <c r="L16" s="89" t="s">
        <v>212</v>
      </c>
    </row>
    <row r="17" spans="1:15"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5" ht="43.9" thickBot="1" x14ac:dyDescent="0.35">
      <c r="A18" s="106" t="s">
        <v>201</v>
      </c>
      <c r="B18" s="84">
        <f t="shared" ref="B18:K18" si="9">B12*(B14/$N$7)-B17</f>
        <v>26670.024245089917</v>
      </c>
      <c r="C18" s="84">
        <f t="shared" si="9"/>
        <v>24240.931031566844</v>
      </c>
      <c r="D18" s="84">
        <f t="shared" si="9"/>
        <v>22469.523893724217</v>
      </c>
      <c r="E18" s="84">
        <f t="shared" si="9"/>
        <v>20198.223497861341</v>
      </c>
      <c r="F18" s="84">
        <f t="shared" si="9"/>
        <v>18144.747695548776</v>
      </c>
      <c r="G18" s="84">
        <f t="shared" si="9"/>
        <v>16554.157300523624</v>
      </c>
      <c r="H18" s="84">
        <f t="shared" si="9"/>
        <v>14958.879405050964</v>
      </c>
      <c r="I18" s="84">
        <f t="shared" si="9"/>
        <v>13311.826482580213</v>
      </c>
      <c r="J18" s="84">
        <f t="shared" si="9"/>
        <v>11754.032818198979</v>
      </c>
      <c r="K18" s="84">
        <f t="shared" si="9"/>
        <v>10266.62455828483</v>
      </c>
      <c r="L18" s="93" t="s">
        <v>214</v>
      </c>
      <c r="M18" s="60"/>
      <c r="N18" s="60"/>
      <c r="O18" s="60"/>
    </row>
    <row r="19" spans="1:15" x14ac:dyDescent="0.25">
      <c r="A19" s="85"/>
      <c r="B19" s="85"/>
      <c r="C19" s="85"/>
      <c r="D19" s="85"/>
      <c r="E19" s="85"/>
      <c r="F19" s="85"/>
      <c r="G19" s="85"/>
      <c r="H19" s="85"/>
      <c r="I19" s="85"/>
      <c r="J19" s="85"/>
      <c r="K19" s="85"/>
      <c r="L19" s="60"/>
      <c r="M19" s="60"/>
      <c r="N19" s="60"/>
      <c r="O19" s="60"/>
    </row>
  </sheetData>
  <mergeCells count="3">
    <mergeCell ref="B1:L1"/>
    <mergeCell ref="N1:O1"/>
    <mergeCell ref="B13:J13"/>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34.5703125" customWidth="1"/>
    <col min="2" max="11" width="9" bestFit="1" customWidth="1"/>
    <col min="12" max="12" width="49.28515625" style="3" customWidth="1"/>
    <col min="14" max="14" width="8.7109375" customWidth="1"/>
    <col min="15" max="15" width="41.140625" customWidth="1"/>
  </cols>
  <sheetData>
    <row r="1" spans="1:18" s="60" customFormat="1" ht="28.9" x14ac:dyDescent="0.3">
      <c r="A1" s="103" t="s">
        <v>190</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v>554766.66666666663</v>
      </c>
      <c r="C3" s="67">
        <f t="shared" ref="C3:K3" si="0">B3*(1+$N$9)</f>
        <v>554766.66666666663</v>
      </c>
      <c r="D3" s="67">
        <f t="shared" si="0"/>
        <v>554766.66666666663</v>
      </c>
      <c r="E3" s="67">
        <f t="shared" si="0"/>
        <v>554766.66666666663</v>
      </c>
      <c r="F3" s="67">
        <f t="shared" si="0"/>
        <v>554766.66666666663</v>
      </c>
      <c r="G3" s="67">
        <f t="shared" si="0"/>
        <v>554766.66666666663</v>
      </c>
      <c r="H3" s="67">
        <f t="shared" si="0"/>
        <v>554766.66666666663</v>
      </c>
      <c r="I3" s="67">
        <f t="shared" si="0"/>
        <v>554766.66666666663</v>
      </c>
      <c r="J3" s="67">
        <f t="shared" si="0"/>
        <v>554766.66666666663</v>
      </c>
      <c r="K3" s="67">
        <f t="shared" si="0"/>
        <v>554766.66666666663</v>
      </c>
      <c r="L3" s="89" t="s">
        <v>219</v>
      </c>
      <c r="N3" s="64">
        <v>0.91839999999999999</v>
      </c>
      <c r="O3" s="9" t="s">
        <v>203</v>
      </c>
    </row>
    <row r="4" spans="1:18" s="60" customFormat="1" ht="28.9" x14ac:dyDescent="0.3">
      <c r="A4" s="105" t="s">
        <v>170</v>
      </c>
      <c r="B4" s="63">
        <f>B3*(1-$N$5)</f>
        <v>515932.99999999994</v>
      </c>
      <c r="C4" s="63">
        <f t="shared" ref="C4:K4" si="1">C3*(1-$N$5)</f>
        <v>515932.99999999994</v>
      </c>
      <c r="D4" s="63">
        <f t="shared" si="1"/>
        <v>515932.99999999994</v>
      </c>
      <c r="E4" s="63">
        <f t="shared" si="1"/>
        <v>515932.99999999994</v>
      </c>
      <c r="F4" s="63">
        <f t="shared" si="1"/>
        <v>515932.99999999994</v>
      </c>
      <c r="G4" s="63">
        <f t="shared" si="1"/>
        <v>515932.99999999994</v>
      </c>
      <c r="H4" s="63">
        <f t="shared" si="1"/>
        <v>515932.99999999994</v>
      </c>
      <c r="I4" s="63">
        <f t="shared" si="1"/>
        <v>515932.99999999994</v>
      </c>
      <c r="J4" s="63">
        <f t="shared" si="1"/>
        <v>515932.99999999994</v>
      </c>
      <c r="K4" s="63">
        <f t="shared" si="1"/>
        <v>515932.99999999994</v>
      </c>
      <c r="L4" s="89" t="s">
        <v>250</v>
      </c>
      <c r="N4" s="70">
        <f>0.15</f>
        <v>0.15</v>
      </c>
      <c r="O4" s="89" t="s">
        <v>166</v>
      </c>
    </row>
    <row r="5" spans="1:18" s="60" customFormat="1" ht="14.45" x14ac:dyDescent="0.3">
      <c r="A5" s="105" t="s">
        <v>194</v>
      </c>
      <c r="B5" s="63">
        <f t="shared" ref="B5:K5" si="2">IF(AND(0&lt;(B3-B4)/B3,(B3-B4)/B3&lt;$N$4),B4,B3*(1-$N$5))</f>
        <v>515932.99999999994</v>
      </c>
      <c r="C5" s="63">
        <f t="shared" si="2"/>
        <v>515932.99999999994</v>
      </c>
      <c r="D5" s="63">
        <f t="shared" si="2"/>
        <v>515932.99999999994</v>
      </c>
      <c r="E5" s="63">
        <f t="shared" si="2"/>
        <v>515932.99999999994</v>
      </c>
      <c r="F5" s="63">
        <f t="shared" si="2"/>
        <v>515932.99999999994</v>
      </c>
      <c r="G5" s="63">
        <f t="shared" si="2"/>
        <v>515932.99999999994</v>
      </c>
      <c r="H5" s="63">
        <f t="shared" si="2"/>
        <v>515932.99999999994</v>
      </c>
      <c r="I5" s="63">
        <f t="shared" si="2"/>
        <v>515932.99999999994</v>
      </c>
      <c r="J5" s="63">
        <f t="shared" si="2"/>
        <v>515932.99999999994</v>
      </c>
      <c r="K5" s="63">
        <f t="shared" si="2"/>
        <v>515932.99999999994</v>
      </c>
      <c r="L5" s="89" t="s">
        <v>249</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14.45" x14ac:dyDescent="0.3">
      <c r="A8" s="105" t="s">
        <v>173</v>
      </c>
      <c r="B8" s="67">
        <v>167833.33333333334</v>
      </c>
      <c r="C8" s="67">
        <f>B8</f>
        <v>167833.33333333334</v>
      </c>
      <c r="D8" s="67">
        <f t="shared" ref="D8:K8" si="3">C8</f>
        <v>167833.33333333334</v>
      </c>
      <c r="E8" s="67">
        <f t="shared" si="3"/>
        <v>167833.33333333334</v>
      </c>
      <c r="F8" s="67">
        <f t="shared" si="3"/>
        <v>167833.33333333334</v>
      </c>
      <c r="G8" s="67">
        <f t="shared" si="3"/>
        <v>167833.33333333334</v>
      </c>
      <c r="H8" s="67">
        <f t="shared" si="3"/>
        <v>167833.33333333334</v>
      </c>
      <c r="I8" s="67">
        <f t="shared" si="3"/>
        <v>167833.33333333334</v>
      </c>
      <c r="J8" s="67">
        <f t="shared" si="3"/>
        <v>167833.33333333334</v>
      </c>
      <c r="K8" s="67">
        <f t="shared" si="3"/>
        <v>167833.33333333334</v>
      </c>
      <c r="L8" s="89" t="s">
        <v>258</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0</v>
      </c>
      <c r="O9" s="89" t="s">
        <v>264</v>
      </c>
    </row>
    <row r="10" spans="1:18" s="60" customFormat="1" ht="15.6" x14ac:dyDescent="0.3">
      <c r="A10" s="105" t="s">
        <v>174</v>
      </c>
      <c r="B10" s="63">
        <f>B5*B9</f>
        <v>175417.22</v>
      </c>
      <c r="C10" s="63">
        <f t="shared" ref="C10:K10" si="4">C5*C9</f>
        <v>185735.87999999998</v>
      </c>
      <c r="D10" s="63">
        <f t="shared" si="4"/>
        <v>190895.20999999996</v>
      </c>
      <c r="E10" s="63">
        <f t="shared" si="4"/>
        <v>201213.87</v>
      </c>
      <c r="F10" s="63">
        <f t="shared" si="4"/>
        <v>211532.52999999997</v>
      </c>
      <c r="G10" s="63">
        <f t="shared" si="4"/>
        <v>216691.85999999996</v>
      </c>
      <c r="H10" s="63">
        <f t="shared" si="4"/>
        <v>227010.52</v>
      </c>
      <c r="I10" s="63">
        <f t="shared" si="4"/>
        <v>237329.18</v>
      </c>
      <c r="J10" s="63">
        <f t="shared" si="4"/>
        <v>247647.83999999997</v>
      </c>
      <c r="K10" s="63">
        <f t="shared" si="4"/>
        <v>257966.49999999997</v>
      </c>
      <c r="L10" s="89" t="s">
        <v>207</v>
      </c>
      <c r="N10" s="68"/>
      <c r="O10" s="62"/>
    </row>
    <row r="11" spans="1:18" s="60" customFormat="1" ht="28.9" x14ac:dyDescent="0.3">
      <c r="A11" s="105" t="s">
        <v>175</v>
      </c>
      <c r="B11" s="63">
        <f t="shared" ref="B11:K11" si="5">MAX(B3-SUM(B6:B8,B10), B3*$N$6)</f>
        <v>211516.11333333328</v>
      </c>
      <c r="C11" s="63">
        <f t="shared" si="5"/>
        <v>201197.45333333331</v>
      </c>
      <c r="D11" s="63">
        <f t="shared" si="5"/>
        <v>196038.12333333329</v>
      </c>
      <c r="E11" s="63">
        <f t="shared" si="5"/>
        <v>185719.46333333326</v>
      </c>
      <c r="F11" s="63">
        <f t="shared" si="5"/>
        <v>175400.80333333334</v>
      </c>
      <c r="G11" s="63">
        <f t="shared" si="5"/>
        <v>170241.47333333333</v>
      </c>
      <c r="H11" s="63">
        <f t="shared" si="5"/>
        <v>159922.8133333333</v>
      </c>
      <c r="I11" s="63">
        <f t="shared" si="5"/>
        <v>149604.15333333332</v>
      </c>
      <c r="J11" s="63">
        <f t="shared" si="5"/>
        <v>139285.49333333329</v>
      </c>
      <c r="K11" s="63">
        <f t="shared" si="5"/>
        <v>128966.83333333331</v>
      </c>
      <c r="L11" s="89" t="s">
        <v>208</v>
      </c>
      <c r="N11" s="68"/>
      <c r="O11" s="62"/>
    </row>
    <row r="12" spans="1:18" s="60" customFormat="1" ht="43.9" x14ac:dyDescent="0.35">
      <c r="A12" s="105" t="s">
        <v>197</v>
      </c>
      <c r="B12" s="63">
        <f t="shared" ref="B12:K12" si="6">B6*$N$3+B11*$N$2</f>
        <v>92094.115745333314</v>
      </c>
      <c r="C12" s="63">
        <f t="shared" si="6"/>
        <v>87601.371181333321</v>
      </c>
      <c r="D12" s="63">
        <f t="shared" si="6"/>
        <v>85354.998899333325</v>
      </c>
      <c r="E12" s="63">
        <f t="shared" si="6"/>
        <v>80862.254335333302</v>
      </c>
      <c r="F12" s="63">
        <f t="shared" si="6"/>
        <v>76369.509771333338</v>
      </c>
      <c r="G12" s="63">
        <f t="shared" si="6"/>
        <v>74123.137489333327</v>
      </c>
      <c r="H12" s="63">
        <f t="shared" si="6"/>
        <v>69630.392925333319</v>
      </c>
      <c r="I12" s="63">
        <f t="shared" si="6"/>
        <v>65137.648361333326</v>
      </c>
      <c r="J12" s="63">
        <f t="shared" si="6"/>
        <v>60644.903797333318</v>
      </c>
      <c r="K12" s="63">
        <f t="shared" si="6"/>
        <v>56152.159233333325</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7">$K$13*B14</f>
        <v>0</v>
      </c>
      <c r="C15" s="88">
        <f t="shared" si="7"/>
        <v>0</v>
      </c>
      <c r="D15" s="88">
        <f t="shared" si="7"/>
        <v>0</v>
      </c>
      <c r="E15" s="88">
        <f t="shared" si="7"/>
        <v>0</v>
      </c>
      <c r="F15" s="88">
        <f t="shared" si="7"/>
        <v>0</v>
      </c>
      <c r="G15" s="88">
        <f t="shared" si="7"/>
        <v>0</v>
      </c>
      <c r="H15" s="88">
        <f t="shared" si="7"/>
        <v>0</v>
      </c>
      <c r="I15" s="88">
        <f t="shared" si="7"/>
        <v>0</v>
      </c>
      <c r="J15" s="88">
        <f t="shared" si="7"/>
        <v>0</v>
      </c>
      <c r="K15" s="88">
        <f t="shared" si="7"/>
        <v>0</v>
      </c>
      <c r="L15" s="108" t="s">
        <v>211</v>
      </c>
    </row>
    <row r="16" spans="1:18" s="60" customFormat="1" ht="30" x14ac:dyDescent="0.35">
      <c r="A16" s="105" t="s">
        <v>199</v>
      </c>
      <c r="B16" s="82">
        <f t="shared" ref="B16:K16" si="8">B12/B3</f>
        <v>0.16600513563420055</v>
      </c>
      <c r="C16" s="82">
        <f t="shared" si="8"/>
        <v>0.15790669563420057</v>
      </c>
      <c r="D16" s="82">
        <f t="shared" si="8"/>
        <v>0.15385747563420055</v>
      </c>
      <c r="E16" s="82">
        <f t="shared" si="8"/>
        <v>0.14575903563420051</v>
      </c>
      <c r="F16" s="82">
        <f t="shared" si="8"/>
        <v>0.13766059563420058</v>
      </c>
      <c r="G16" s="82">
        <f t="shared" si="8"/>
        <v>0.13361137563420056</v>
      </c>
      <c r="H16" s="82">
        <f t="shared" si="8"/>
        <v>0.12551293563420055</v>
      </c>
      <c r="I16" s="82">
        <f t="shared" si="8"/>
        <v>0.11741449563420056</v>
      </c>
      <c r="J16" s="82">
        <f t="shared" si="8"/>
        <v>0.10931605563420055</v>
      </c>
      <c r="K16" s="82">
        <f t="shared" si="8"/>
        <v>0.10121761563420055</v>
      </c>
      <c r="L16" s="89" t="s">
        <v>212</v>
      </c>
    </row>
    <row r="17" spans="1:18" s="60" customFormat="1" ht="30.6" thickBot="1" x14ac:dyDescent="0.4">
      <c r="A17" s="105" t="s">
        <v>200</v>
      </c>
      <c r="B17" s="81">
        <f>B15*B16</f>
        <v>0</v>
      </c>
      <c r="C17" s="81">
        <f t="shared" ref="C17:K17" si="9">C15*C16</f>
        <v>0</v>
      </c>
      <c r="D17" s="81">
        <f t="shared" si="9"/>
        <v>0</v>
      </c>
      <c r="E17" s="81">
        <f t="shared" si="9"/>
        <v>0</v>
      </c>
      <c r="F17" s="81">
        <f t="shared" si="9"/>
        <v>0</v>
      </c>
      <c r="G17" s="81">
        <f t="shared" si="9"/>
        <v>0</v>
      </c>
      <c r="H17" s="81">
        <f t="shared" si="9"/>
        <v>0</v>
      </c>
      <c r="I17" s="81">
        <f t="shared" si="9"/>
        <v>0</v>
      </c>
      <c r="J17" s="81">
        <f t="shared" si="9"/>
        <v>0</v>
      </c>
      <c r="K17" s="81">
        <f t="shared" si="9"/>
        <v>0</v>
      </c>
      <c r="L17" s="89" t="s">
        <v>213</v>
      </c>
    </row>
    <row r="18" spans="1:18" ht="43.9" thickBot="1" x14ac:dyDescent="0.35">
      <c r="A18" s="128" t="s">
        <v>201</v>
      </c>
      <c r="B18" s="84">
        <f t="shared" ref="B18:K18" si="10">B12*(B14/$N$7)-B17</f>
        <v>88414.679863616126</v>
      </c>
      <c r="C18" s="84">
        <f t="shared" si="10"/>
        <v>80601.496633353687</v>
      </c>
      <c r="D18" s="84">
        <f t="shared" si="10"/>
        <v>75124.434988954948</v>
      </c>
      <c r="E18" s="84">
        <f t="shared" si="10"/>
        <v>67939.496885738321</v>
      </c>
      <c r="F18" s="84">
        <f t="shared" si="10"/>
        <v>61113.555997976509</v>
      </c>
      <c r="G18" s="84">
        <f t="shared" si="10"/>
        <v>56354.488784487265</v>
      </c>
      <c r="H18" s="84">
        <f t="shared" si="10"/>
        <v>50238.614872097125</v>
      </c>
      <c r="I18" s="84">
        <f t="shared" si="10"/>
        <v>44394.63695602036</v>
      </c>
      <c r="J18" s="84">
        <f t="shared" si="10"/>
        <v>38909.656255398353</v>
      </c>
      <c r="K18" s="84">
        <f t="shared" si="10"/>
        <v>33717.689034351737</v>
      </c>
      <c r="L18" s="93" t="s">
        <v>214</v>
      </c>
      <c r="N18" s="60"/>
      <c r="O18" s="60"/>
      <c r="P18" s="60"/>
      <c r="Q18" s="60"/>
      <c r="R18" s="60"/>
    </row>
    <row r="19" spans="1:18" ht="14.45" x14ac:dyDescent="0.3">
      <c r="A19" s="85"/>
      <c r="B19" s="85"/>
      <c r="C19" s="85"/>
      <c r="D19" s="85"/>
      <c r="E19" s="85"/>
      <c r="F19" s="85"/>
      <c r="G19" s="85"/>
      <c r="H19" s="85"/>
      <c r="I19" s="85"/>
      <c r="J19" s="85"/>
      <c r="K19" s="85"/>
    </row>
  </sheetData>
  <mergeCells count="3">
    <mergeCell ref="B1:L1"/>
    <mergeCell ref="N1:O1"/>
    <mergeCell ref="B13:J13"/>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heetViews>
  <sheetFormatPr defaultRowHeight="15" x14ac:dyDescent="0.25"/>
  <cols>
    <col min="1" max="1" width="36.42578125" customWidth="1"/>
    <col min="2" max="11" width="9" bestFit="1" customWidth="1"/>
    <col min="12" max="12" width="49.28515625" style="3" customWidth="1"/>
    <col min="14" max="14" width="8.7109375" customWidth="1"/>
    <col min="15" max="15" width="34.140625" customWidth="1"/>
    <col min="16" max="17" width="12" customWidth="1"/>
    <col min="18" max="18" width="11.42578125" customWidth="1"/>
    <col min="19" max="19" width="14.28515625" customWidth="1"/>
    <col min="20" max="20" width="10.7109375" bestFit="1" customWidth="1"/>
  </cols>
  <sheetData>
    <row r="1" spans="1:18" s="60" customFormat="1" ht="15.6" x14ac:dyDescent="0.3">
      <c r="A1" s="103" t="s">
        <v>22</v>
      </c>
      <c r="B1" s="141" t="s">
        <v>176</v>
      </c>
      <c r="C1" s="142"/>
      <c r="D1" s="142"/>
      <c r="E1" s="142"/>
      <c r="F1" s="142"/>
      <c r="G1" s="142"/>
      <c r="H1" s="142"/>
      <c r="I1" s="142"/>
      <c r="J1" s="142"/>
      <c r="K1" s="142"/>
      <c r="L1" s="143"/>
      <c r="N1" s="144" t="s">
        <v>196</v>
      </c>
      <c r="O1" s="145"/>
      <c r="P1" s="62"/>
    </row>
    <row r="2" spans="1:18" s="60" customFormat="1" ht="30"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58.9" x14ac:dyDescent="0.35">
      <c r="A3" s="105" t="s">
        <v>169</v>
      </c>
      <c r="B3" s="63">
        <f>SUMIFS('Form 1.5a'!J:J, 'Form 1.5a'!$B:$B, "Redding")*1000</f>
        <v>880000</v>
      </c>
      <c r="C3" s="63">
        <f>SUMIFS('Form 1.5a'!K:K, 'Form 1.5a'!$B:$B, "Redding")*1000</f>
        <v>890000</v>
      </c>
      <c r="D3" s="63">
        <f>SUMIFS('Form 1.5a'!L:L, 'Form 1.5a'!$B:$B, "Redding")*1000</f>
        <v>900000</v>
      </c>
      <c r="E3" s="63">
        <f>SUMIFS('Form 1.5a'!M:M, 'Form 1.5a'!$B:$B, "Redding")*1000</f>
        <v>909000</v>
      </c>
      <c r="F3" s="63">
        <f>SUMIFS('Form 1.5a'!N:N, 'Form 1.5a'!$B:$B, "Redding")*1000</f>
        <v>918000</v>
      </c>
      <c r="G3" s="63">
        <f>SUMIFS('Form 1.5a'!O:O, 'Form 1.5a'!$B:$B, "Redding")*1000</f>
        <v>927000</v>
      </c>
      <c r="H3" s="67">
        <f>AVERAGE(E3:G3)*(1+$N$9)</f>
        <v>927714.09358947049</v>
      </c>
      <c r="I3" s="67">
        <f t="shared" ref="I3:K4" si="0">H3*(1+$N$9)</f>
        <v>937530.97978707275</v>
      </c>
      <c r="J3" s="67">
        <f t="shared" si="0"/>
        <v>947451.74632376083</v>
      </c>
      <c r="K3" s="67">
        <f t="shared" si="0"/>
        <v>957477.49244064128</v>
      </c>
      <c r="L3" s="89" t="s">
        <v>218</v>
      </c>
      <c r="N3" s="64">
        <v>0.91839999999999999</v>
      </c>
      <c r="O3" s="9" t="s">
        <v>203</v>
      </c>
    </row>
    <row r="4" spans="1:18" s="60" customFormat="1" ht="57.6" x14ac:dyDescent="0.3">
      <c r="A4" s="105" t="s">
        <v>170</v>
      </c>
      <c r="B4" s="63">
        <f>SUMIFS('Form 1.1c'!J:J, 'Form 1.1c'!$B:$B, "City of Redding")*1000</f>
        <v>827000</v>
      </c>
      <c r="C4" s="63">
        <f>SUMIFS('Form 1.1c'!K:K, 'Form 1.1c'!$B:$B, "City of Redding")*1000</f>
        <v>837000</v>
      </c>
      <c r="D4" s="63">
        <f>SUMIFS('Form 1.1c'!L:L, 'Form 1.1c'!$B:$B, "City of Redding")*1000</f>
        <v>846000</v>
      </c>
      <c r="E4" s="63">
        <f>SUMIFS('Form 1.1c'!M:M, 'Form 1.1c'!$B:$B, "City of Redding")*1000</f>
        <v>855000</v>
      </c>
      <c r="F4" s="63">
        <f>SUMIFS('Form 1.1c'!N:N, 'Form 1.1c'!$B:$B, "City of Redding")*1000</f>
        <v>864000</v>
      </c>
      <c r="G4" s="63">
        <f>SUMIFS('Form 1.1c'!O:O, 'Form 1.1c'!$B:$B, "City of Redding")*1000</f>
        <v>872000</v>
      </c>
      <c r="H4" s="67">
        <f>AVERAGE(E4:G4)*(1+$N$9)</f>
        <v>872805.81571906968</v>
      </c>
      <c r="I4" s="63">
        <f t="shared" si="0"/>
        <v>882041.67343075725</v>
      </c>
      <c r="J4" s="63">
        <f t="shared" si="0"/>
        <v>891375.26315354544</v>
      </c>
      <c r="K4" s="63">
        <f t="shared" si="0"/>
        <v>900807.619068156</v>
      </c>
      <c r="L4" s="89" t="s">
        <v>222</v>
      </c>
      <c r="N4" s="70">
        <f>0.15</f>
        <v>0.15</v>
      </c>
      <c r="O4" s="89" t="s">
        <v>166</v>
      </c>
    </row>
    <row r="5" spans="1:18" s="60" customFormat="1" ht="28.9" x14ac:dyDescent="0.3">
      <c r="A5" s="105" t="s">
        <v>194</v>
      </c>
      <c r="B5" s="63">
        <f t="shared" ref="B5:K5" si="1">IF(AND(0&lt;(B3-B4)/B3,(B3-B4)/B3&lt;$N$4),B4,B3*(1-$N$5))</f>
        <v>827000</v>
      </c>
      <c r="C5" s="63">
        <f t="shared" si="1"/>
        <v>837000</v>
      </c>
      <c r="D5" s="63">
        <f t="shared" si="1"/>
        <v>846000</v>
      </c>
      <c r="E5" s="63">
        <f t="shared" si="1"/>
        <v>855000</v>
      </c>
      <c r="F5" s="63">
        <f t="shared" si="1"/>
        <v>864000</v>
      </c>
      <c r="G5" s="63">
        <f t="shared" si="1"/>
        <v>872000</v>
      </c>
      <c r="H5" s="63">
        <f t="shared" si="1"/>
        <v>872805.81571906968</v>
      </c>
      <c r="I5" s="63">
        <f t="shared" si="1"/>
        <v>882041.67343075725</v>
      </c>
      <c r="J5" s="63">
        <f t="shared" si="1"/>
        <v>891375.26315354544</v>
      </c>
      <c r="K5" s="63">
        <f t="shared" si="1"/>
        <v>900807.619068156</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242</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243</v>
      </c>
      <c r="N7" s="86">
        <v>0.85099999999999998</v>
      </c>
      <c r="O7" s="89" t="s">
        <v>168</v>
      </c>
    </row>
    <row r="8" spans="1:18" s="60" customFormat="1" ht="28.9" x14ac:dyDescent="0.3">
      <c r="A8" s="105" t="s">
        <v>173</v>
      </c>
      <c r="B8" s="67">
        <v>273890</v>
      </c>
      <c r="C8" s="67">
        <v>273890</v>
      </c>
      <c r="D8" s="67">
        <v>273890</v>
      </c>
      <c r="E8" s="67">
        <v>273890</v>
      </c>
      <c r="F8" s="63">
        <f>AVERAGE(C8:E8)</f>
        <v>273890</v>
      </c>
      <c r="G8" s="63">
        <f>F8</f>
        <v>273890</v>
      </c>
      <c r="H8" s="63">
        <f t="shared" ref="H8:K8" si="2">G8</f>
        <v>273890</v>
      </c>
      <c r="I8" s="63">
        <f t="shared" si="2"/>
        <v>273890</v>
      </c>
      <c r="J8" s="63">
        <f t="shared" si="2"/>
        <v>273890</v>
      </c>
      <c r="K8" s="63">
        <f t="shared" si="2"/>
        <v>273890</v>
      </c>
      <c r="L8" s="89" t="s">
        <v>251</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1.0581801295719506E-2</v>
      </c>
      <c r="O9" s="89" t="s">
        <v>206</v>
      </c>
    </row>
    <row r="10" spans="1:18" s="60" customFormat="1" ht="15.6" x14ac:dyDescent="0.3">
      <c r="A10" s="105" t="s">
        <v>174</v>
      </c>
      <c r="B10" s="63">
        <f>B5*B9</f>
        <v>281180</v>
      </c>
      <c r="C10" s="63">
        <f t="shared" ref="C10:K10" si="3">C5*C9</f>
        <v>301320</v>
      </c>
      <c r="D10" s="63">
        <f t="shared" si="3"/>
        <v>313020</v>
      </c>
      <c r="E10" s="63">
        <f t="shared" si="3"/>
        <v>333450</v>
      </c>
      <c r="F10" s="63">
        <f t="shared" si="3"/>
        <v>354240</v>
      </c>
      <c r="G10" s="63">
        <f t="shared" si="3"/>
        <v>366240</v>
      </c>
      <c r="H10" s="63">
        <f t="shared" si="3"/>
        <v>384034.55891639064</v>
      </c>
      <c r="I10" s="63">
        <f t="shared" si="3"/>
        <v>405739.16977814835</v>
      </c>
      <c r="J10" s="63">
        <f t="shared" si="3"/>
        <v>427860.1263137018</v>
      </c>
      <c r="K10" s="63">
        <f t="shared" si="3"/>
        <v>450403.809534078</v>
      </c>
      <c r="L10" s="89" t="s">
        <v>207</v>
      </c>
      <c r="N10" s="68"/>
      <c r="O10" s="62"/>
    </row>
    <row r="11" spans="1:18" s="60" customFormat="1" ht="28.9" x14ac:dyDescent="0.3">
      <c r="A11" s="105" t="s">
        <v>175</v>
      </c>
      <c r="B11" s="63">
        <f t="shared" ref="B11:K11" si="4">MAX(B3-SUM(B6:B8,B10), B3*$N$6)</f>
        <v>324930</v>
      </c>
      <c r="C11" s="63">
        <f t="shared" si="4"/>
        <v>314790</v>
      </c>
      <c r="D11" s="63">
        <f t="shared" si="4"/>
        <v>313090</v>
      </c>
      <c r="E11" s="63">
        <f t="shared" si="4"/>
        <v>301660</v>
      </c>
      <c r="F11" s="63">
        <f t="shared" si="4"/>
        <v>289870</v>
      </c>
      <c r="G11" s="63">
        <f t="shared" si="4"/>
        <v>286870</v>
      </c>
      <c r="H11" s="63">
        <f t="shared" si="4"/>
        <v>269789.53467307985</v>
      </c>
      <c r="I11" s="63">
        <f t="shared" si="4"/>
        <v>257901.81000892434</v>
      </c>
      <c r="J11" s="63">
        <f t="shared" si="4"/>
        <v>245701.62001005909</v>
      </c>
      <c r="K11" s="63">
        <f t="shared" si="4"/>
        <v>233183.68290656328</v>
      </c>
      <c r="L11" s="89" t="s">
        <v>208</v>
      </c>
      <c r="N11" s="68"/>
      <c r="O11" s="62"/>
    </row>
    <row r="12" spans="1:18" s="60" customFormat="1" ht="43.9" x14ac:dyDescent="0.35">
      <c r="A12" s="105" t="s">
        <v>197</v>
      </c>
      <c r="B12" s="63">
        <f t="shared" ref="B12:K12" si="5">B6*$N$3+B11*$N$2</f>
        <v>141474.522</v>
      </c>
      <c r="C12" s="63">
        <f t="shared" si="5"/>
        <v>137059.56599999999</v>
      </c>
      <c r="D12" s="63">
        <f t="shared" si="5"/>
        <v>136319.386</v>
      </c>
      <c r="E12" s="63">
        <f t="shared" si="5"/>
        <v>131342.764</v>
      </c>
      <c r="F12" s="63">
        <f t="shared" si="5"/>
        <v>126209.398</v>
      </c>
      <c r="G12" s="63">
        <f t="shared" si="5"/>
        <v>124903.198</v>
      </c>
      <c r="H12" s="63">
        <f t="shared" si="5"/>
        <v>117466.36339665897</v>
      </c>
      <c r="I12" s="63">
        <f t="shared" si="5"/>
        <v>112290.44807788565</v>
      </c>
      <c r="J12" s="63">
        <f t="shared" si="5"/>
        <v>106978.48535237974</v>
      </c>
      <c r="K12" s="63">
        <f t="shared" si="5"/>
        <v>101528.17553751766</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8" s="60" customFormat="1" ht="30" x14ac:dyDescent="0.35">
      <c r="A16" s="105" t="s">
        <v>199</v>
      </c>
      <c r="B16" s="82">
        <f t="shared" ref="B16:K16" si="7">B12/B3</f>
        <v>0.16076650227272726</v>
      </c>
      <c r="C16" s="82">
        <f t="shared" si="7"/>
        <v>0.15399951235955056</v>
      </c>
      <c r="D16" s="82">
        <f t="shared" si="7"/>
        <v>0.15146598444444445</v>
      </c>
      <c r="E16" s="82">
        <f t="shared" si="7"/>
        <v>0.14449148954895488</v>
      </c>
      <c r="F16" s="82">
        <f t="shared" si="7"/>
        <v>0.13748300435729849</v>
      </c>
      <c r="G16" s="82">
        <f t="shared" si="7"/>
        <v>0.13473915641855447</v>
      </c>
      <c r="H16" s="82">
        <f t="shared" si="7"/>
        <v>0.12661914291089757</v>
      </c>
      <c r="I16" s="82">
        <f t="shared" si="7"/>
        <v>0.11977252005409836</v>
      </c>
      <c r="J16" s="82">
        <f t="shared" si="7"/>
        <v>0.11291180344272997</v>
      </c>
      <c r="K16" s="82">
        <f t="shared" si="7"/>
        <v>0.10603714065248576</v>
      </c>
      <c r="L16" s="89" t="s">
        <v>212</v>
      </c>
    </row>
    <row r="17" spans="1:18"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8" ht="43.9" thickBot="1" x14ac:dyDescent="0.35">
      <c r="A18" s="128" t="s">
        <v>201</v>
      </c>
      <c r="B18" s="84">
        <f t="shared" ref="B18:K18" si="9">B12*(B14/$N$7)-B17</f>
        <v>135822.1909212691</v>
      </c>
      <c r="C18" s="84">
        <f t="shared" si="9"/>
        <v>126107.68528554641</v>
      </c>
      <c r="D18" s="84">
        <f t="shared" si="9"/>
        <v>119980.28215511164</v>
      </c>
      <c r="E18" s="84">
        <f t="shared" si="9"/>
        <v>110352.61605170388</v>
      </c>
      <c r="F18" s="84">
        <f t="shared" si="9"/>
        <v>100997.1798331375</v>
      </c>
      <c r="G18" s="84">
        <f t="shared" si="9"/>
        <v>94961.655823736786</v>
      </c>
      <c r="H18" s="84">
        <f t="shared" si="9"/>
        <v>84752.464307342656</v>
      </c>
      <c r="I18" s="84">
        <f t="shared" si="9"/>
        <v>76531.680241097158</v>
      </c>
      <c r="J18" s="84">
        <f t="shared" si="9"/>
        <v>68637.195067449284</v>
      </c>
      <c r="K18" s="84">
        <f t="shared" si="9"/>
        <v>60964.627144149854</v>
      </c>
      <c r="L18" s="93" t="s">
        <v>214</v>
      </c>
      <c r="N18" s="60"/>
      <c r="O18" s="60"/>
      <c r="P18" s="60"/>
      <c r="Q18" s="60"/>
      <c r="R18" s="60"/>
    </row>
    <row r="19" spans="1:18" ht="14.45" x14ac:dyDescent="0.3">
      <c r="A19" s="85"/>
      <c r="B19" s="85"/>
      <c r="C19" s="85"/>
      <c r="D19" s="85"/>
      <c r="E19" s="85"/>
      <c r="F19" s="85"/>
      <c r="G19" s="85"/>
      <c r="H19" s="85"/>
      <c r="I19" s="85"/>
      <c r="J19" s="85"/>
      <c r="K19" s="85"/>
    </row>
    <row r="25" spans="1:18" x14ac:dyDescent="0.25">
      <c r="N25" s="2"/>
    </row>
    <row r="26" spans="1:18" x14ac:dyDescent="0.25">
      <c r="N26" s="2"/>
    </row>
  </sheetData>
  <mergeCells count="3">
    <mergeCell ref="B1:L1"/>
    <mergeCell ref="N1:O1"/>
    <mergeCell ref="B13:J1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heetViews>
  <sheetFormatPr defaultRowHeight="15" x14ac:dyDescent="0.25"/>
  <cols>
    <col min="1" max="1" width="27.85546875" customWidth="1"/>
    <col min="2" max="11" width="11.5703125" bestFit="1" customWidth="1"/>
    <col min="12" max="12" width="49.28515625" customWidth="1"/>
    <col min="14" max="14" width="8.7109375" customWidth="1"/>
    <col min="15" max="15" width="37.42578125" customWidth="1"/>
  </cols>
  <sheetData>
    <row r="1" spans="1:16" s="60" customFormat="1" ht="28.9" x14ac:dyDescent="0.3">
      <c r="A1" s="103" t="s">
        <v>3</v>
      </c>
      <c r="B1" s="141" t="s">
        <v>176</v>
      </c>
      <c r="C1" s="142"/>
      <c r="D1" s="142"/>
      <c r="E1" s="142"/>
      <c r="F1" s="142"/>
      <c r="G1" s="142"/>
      <c r="H1" s="142"/>
      <c r="I1" s="142"/>
      <c r="J1" s="142"/>
      <c r="K1" s="142"/>
      <c r="L1" s="143"/>
      <c r="N1" s="144" t="s">
        <v>196</v>
      </c>
      <c r="O1" s="145"/>
      <c r="P1" s="62"/>
    </row>
    <row r="2" spans="1:16" s="60" customFormat="1" ht="30"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6" s="60" customFormat="1" ht="58.15" x14ac:dyDescent="0.35">
      <c r="A3" s="105" t="s">
        <v>169</v>
      </c>
      <c r="B3" s="63">
        <f>SUMIFS('Form 1.5a'!J:J, 'Form 1.5a'!$B:$B, "SMUD")*1000</f>
        <v>12275000</v>
      </c>
      <c r="C3" s="63">
        <f>SUMIFS('Form 1.5a'!K:K, 'Form 1.5a'!$B:$B, "SMUD")*1000</f>
        <v>12382000</v>
      </c>
      <c r="D3" s="63">
        <f>SUMIFS('Form 1.5a'!L:L, 'Form 1.5a'!$B:$B, "SMUD")*1000</f>
        <v>12484000</v>
      </c>
      <c r="E3" s="63">
        <f>SUMIFS('Form 1.5a'!M:M, 'Form 1.5a'!$B:$B, "SMUD")*1000</f>
        <v>12589000</v>
      </c>
      <c r="F3" s="63">
        <f>SUMIFS('Form 1.5a'!N:N, 'Form 1.5a'!$B:$B, "SMUD")*1000</f>
        <v>12684000</v>
      </c>
      <c r="G3" s="63">
        <f>SUMIFS('Form 1.5a'!O:O, 'Form 1.5a'!$B:$B, "SMUD")*1000</f>
        <v>12775000</v>
      </c>
      <c r="H3" s="67">
        <f>AVERAGE(E3:G3)*(1+$N$9)</f>
        <v>12817829.612930188</v>
      </c>
      <c r="I3" s="67">
        <f t="shared" ref="I3:K4" si="0">H3*(1+$N$9)</f>
        <v>12954433.03086444</v>
      </c>
      <c r="J3" s="67">
        <f t="shared" si="0"/>
        <v>13092492.272003932</v>
      </c>
      <c r="K3" s="67">
        <f t="shared" si="0"/>
        <v>13232022.851489039</v>
      </c>
      <c r="L3" s="89" t="s">
        <v>218</v>
      </c>
      <c r="N3" s="64">
        <v>0.91839999999999999</v>
      </c>
      <c r="O3" s="9" t="s">
        <v>203</v>
      </c>
    </row>
    <row r="4" spans="1:16" s="60" customFormat="1" ht="57.6" x14ac:dyDescent="0.3">
      <c r="A4" s="105" t="s">
        <v>170</v>
      </c>
      <c r="B4" s="63">
        <f>SUMIFS('Form 1.1c'!J:J, 'Form 1.1c'!$B:$B, "Sacramento Municipal Utility District")*1000</f>
        <v>11542000</v>
      </c>
      <c r="C4" s="63">
        <f>SUMIFS('Form 1.1c'!K:K, 'Form 1.1c'!$B:$B, "Sacramento Municipal Utility District")*1000</f>
        <v>11643000</v>
      </c>
      <c r="D4" s="63">
        <f>SUMIFS('Form 1.1c'!L:L, 'Form 1.1c'!$B:$B, "Sacramento Municipal Utility District")*1000</f>
        <v>11740000</v>
      </c>
      <c r="E4" s="63">
        <f>SUMIFS('Form 1.1c'!M:M, 'Form 1.1c'!$B:$B, "Sacramento Municipal Utility District")*1000</f>
        <v>11839000</v>
      </c>
      <c r="F4" s="63">
        <f>SUMIFS('Form 1.1c'!N:N, 'Form 1.1c'!$B:$B, "Sacramento Municipal Utility District")*1000</f>
        <v>11929000</v>
      </c>
      <c r="G4" s="63">
        <f>SUMIFS('Form 1.1c'!O:O, 'Form 1.1c'!$B:$B, "Sacramento Municipal Utility District")*1000</f>
        <v>12016000</v>
      </c>
      <c r="H4" s="67">
        <f>AVERAGE(E4:G4)*(1+$N$9)</f>
        <v>12055120.239410583</v>
      </c>
      <c r="I4" s="63">
        <f t="shared" si="0"/>
        <v>12183595.236975744</v>
      </c>
      <c r="J4" s="63">
        <f t="shared" si="0"/>
        <v>12313439.430755591</v>
      </c>
      <c r="K4" s="63">
        <f t="shared" si="0"/>
        <v>12444667.412680924</v>
      </c>
      <c r="L4" s="89" t="s">
        <v>222</v>
      </c>
      <c r="N4" s="70">
        <f>0.15</f>
        <v>0.15</v>
      </c>
      <c r="O4" s="89" t="s">
        <v>166</v>
      </c>
    </row>
    <row r="5" spans="1:16" s="60" customFormat="1" ht="28.9" x14ac:dyDescent="0.3">
      <c r="A5" s="105" t="s">
        <v>194</v>
      </c>
      <c r="B5" s="63">
        <f t="shared" ref="B5:K5" si="1">IF(AND(0&lt;(B3-B4)/B3,(B3-B4)/B3&lt;$N$4),B4,B3*(1-$N$5))</f>
        <v>11542000</v>
      </c>
      <c r="C5" s="63">
        <f t="shared" si="1"/>
        <v>11643000</v>
      </c>
      <c r="D5" s="63">
        <f t="shared" si="1"/>
        <v>11740000</v>
      </c>
      <c r="E5" s="63">
        <f t="shared" si="1"/>
        <v>11839000</v>
      </c>
      <c r="F5" s="63">
        <f t="shared" si="1"/>
        <v>11929000</v>
      </c>
      <c r="G5" s="63">
        <f t="shared" si="1"/>
        <v>12016000</v>
      </c>
      <c r="H5" s="63">
        <f t="shared" si="1"/>
        <v>12055120.239410583</v>
      </c>
      <c r="I5" s="63">
        <f t="shared" si="1"/>
        <v>12183595.236975744</v>
      </c>
      <c r="J5" s="63">
        <f t="shared" si="1"/>
        <v>12313439.430755591</v>
      </c>
      <c r="K5" s="63">
        <f t="shared" si="1"/>
        <v>12444667.412680924</v>
      </c>
      <c r="L5" s="89" t="s">
        <v>223</v>
      </c>
      <c r="N5" s="70">
        <f>0.07</f>
        <v>7.0000000000000007E-2</v>
      </c>
      <c r="O5" s="89" t="s">
        <v>220</v>
      </c>
    </row>
    <row r="6" spans="1:16" s="60" customFormat="1" ht="14.45" x14ac:dyDescent="0.3">
      <c r="A6" s="105" t="s">
        <v>171</v>
      </c>
      <c r="B6" s="63">
        <v>0</v>
      </c>
      <c r="C6" s="63">
        <v>0</v>
      </c>
      <c r="D6" s="63">
        <v>0</v>
      </c>
      <c r="E6" s="63">
        <v>0</v>
      </c>
      <c r="F6" s="63">
        <v>0</v>
      </c>
      <c r="G6" s="63">
        <v>0</v>
      </c>
      <c r="H6" s="63">
        <v>0</v>
      </c>
      <c r="I6" s="63">
        <v>0</v>
      </c>
      <c r="J6" s="63">
        <v>0</v>
      </c>
      <c r="K6" s="63">
        <v>0</v>
      </c>
      <c r="L6" s="119" t="s">
        <v>242</v>
      </c>
      <c r="N6" s="65">
        <v>0.05</v>
      </c>
      <c r="O6" s="89" t="s">
        <v>204</v>
      </c>
    </row>
    <row r="7" spans="1:16" s="60" customFormat="1" ht="14.45" x14ac:dyDescent="0.3">
      <c r="A7" s="105" t="s">
        <v>172</v>
      </c>
      <c r="B7" s="63">
        <v>0</v>
      </c>
      <c r="C7" s="63">
        <v>0</v>
      </c>
      <c r="D7" s="63">
        <v>0</v>
      </c>
      <c r="E7" s="63">
        <v>0</v>
      </c>
      <c r="F7" s="63">
        <v>0</v>
      </c>
      <c r="G7" s="63">
        <v>0</v>
      </c>
      <c r="H7" s="63">
        <v>0</v>
      </c>
      <c r="I7" s="63">
        <v>0</v>
      </c>
      <c r="J7" s="63">
        <v>0</v>
      </c>
      <c r="K7" s="63">
        <v>0</v>
      </c>
      <c r="L7" s="119" t="s">
        <v>243</v>
      </c>
      <c r="N7" s="86">
        <v>0.85099999999999998</v>
      </c>
      <c r="O7" s="89" t="s">
        <v>168</v>
      </c>
    </row>
    <row r="8" spans="1:16" s="60" customFormat="1" ht="28.9" x14ac:dyDescent="0.3">
      <c r="A8" s="105" t="s">
        <v>173</v>
      </c>
      <c r="B8" s="67">
        <v>2345799.9999999995</v>
      </c>
      <c r="C8" s="67">
        <v>2345799.9999999995</v>
      </c>
      <c r="D8" s="67">
        <v>2345799.9999999995</v>
      </c>
      <c r="E8" s="67">
        <v>2345799.9999999995</v>
      </c>
      <c r="F8" s="63">
        <f>AVERAGE(C8:E8)</f>
        <v>2345799.9999999995</v>
      </c>
      <c r="G8" s="63">
        <f>F8</f>
        <v>2345799.9999999995</v>
      </c>
      <c r="H8" s="63">
        <f t="shared" ref="H8:K8" si="2">G8</f>
        <v>2345799.9999999995</v>
      </c>
      <c r="I8" s="63">
        <f t="shared" si="2"/>
        <v>2345799.9999999995</v>
      </c>
      <c r="J8" s="63">
        <f t="shared" si="2"/>
        <v>2345799.9999999995</v>
      </c>
      <c r="K8" s="63">
        <f t="shared" si="2"/>
        <v>2345799.9999999995</v>
      </c>
      <c r="L8" s="89" t="s">
        <v>251</v>
      </c>
      <c r="O8" s="107"/>
    </row>
    <row r="9" spans="1:16" s="60" customFormat="1" ht="28.9" x14ac:dyDescent="0.3">
      <c r="A9" s="105" t="s">
        <v>153</v>
      </c>
      <c r="B9" s="73">
        <v>0.34</v>
      </c>
      <c r="C9" s="59">
        <v>0.36</v>
      </c>
      <c r="D9" s="59">
        <v>0.37</v>
      </c>
      <c r="E9" s="59">
        <v>0.39</v>
      </c>
      <c r="F9" s="59">
        <v>0.41</v>
      </c>
      <c r="G9" s="59">
        <v>0.42</v>
      </c>
      <c r="H9" s="59">
        <v>0.44</v>
      </c>
      <c r="I9" s="59">
        <v>0.46</v>
      </c>
      <c r="J9" s="59">
        <v>0.48</v>
      </c>
      <c r="K9" s="59">
        <v>0.5</v>
      </c>
      <c r="L9" s="89" t="s">
        <v>248</v>
      </c>
      <c r="N9" s="66">
        <v>1.0657297066615001E-2</v>
      </c>
      <c r="O9" s="89" t="s">
        <v>206</v>
      </c>
    </row>
    <row r="10" spans="1:16" s="60" customFormat="1" ht="15.6" x14ac:dyDescent="0.3">
      <c r="A10" s="105" t="s">
        <v>174</v>
      </c>
      <c r="B10" s="63">
        <f>B5*B9</f>
        <v>3924280.0000000005</v>
      </c>
      <c r="C10" s="63">
        <f t="shared" ref="C10:K10" si="3">C5*C9</f>
        <v>4191480</v>
      </c>
      <c r="D10" s="63">
        <f t="shared" si="3"/>
        <v>4343800</v>
      </c>
      <c r="E10" s="63">
        <f t="shared" si="3"/>
        <v>4617210</v>
      </c>
      <c r="F10" s="63">
        <f t="shared" si="3"/>
        <v>4890890</v>
      </c>
      <c r="G10" s="63">
        <f t="shared" si="3"/>
        <v>5046720</v>
      </c>
      <c r="H10" s="63">
        <f t="shared" si="3"/>
        <v>5304252.9053406566</v>
      </c>
      <c r="I10" s="63">
        <f t="shared" si="3"/>
        <v>5604453.8090088423</v>
      </c>
      <c r="J10" s="63">
        <f t="shared" si="3"/>
        <v>5910450.9267626833</v>
      </c>
      <c r="K10" s="63">
        <f t="shared" si="3"/>
        <v>6222333.706340462</v>
      </c>
      <c r="L10" s="89" t="s">
        <v>207</v>
      </c>
      <c r="N10" s="68"/>
      <c r="O10" s="62"/>
    </row>
    <row r="11" spans="1:16" s="60" customFormat="1" ht="28.9" x14ac:dyDescent="0.3">
      <c r="A11" s="105" t="s">
        <v>175</v>
      </c>
      <c r="B11" s="63">
        <f t="shared" ref="B11:K11" si="4">MAX(B3-SUM(B6:B8,B10), B3*$N$6)</f>
        <v>6004920</v>
      </c>
      <c r="C11" s="63">
        <f t="shared" si="4"/>
        <v>5844720</v>
      </c>
      <c r="D11" s="63">
        <f t="shared" si="4"/>
        <v>5794400</v>
      </c>
      <c r="E11" s="63">
        <f t="shared" si="4"/>
        <v>5625990</v>
      </c>
      <c r="F11" s="63">
        <f t="shared" si="4"/>
        <v>5447310</v>
      </c>
      <c r="G11" s="63">
        <f t="shared" si="4"/>
        <v>5382480</v>
      </c>
      <c r="H11" s="63">
        <f t="shared" si="4"/>
        <v>5167776.7075895313</v>
      </c>
      <c r="I11" s="63">
        <f t="shared" si="4"/>
        <v>5004179.2218555976</v>
      </c>
      <c r="J11" s="63">
        <f t="shared" si="4"/>
        <v>4836241.3452412486</v>
      </c>
      <c r="K11" s="63">
        <f t="shared" si="4"/>
        <v>4663889.1451485772</v>
      </c>
      <c r="L11" s="89" t="s">
        <v>208</v>
      </c>
      <c r="N11" s="68"/>
      <c r="O11" s="62"/>
    </row>
    <row r="12" spans="1:16" s="60" customFormat="1" ht="43.9" x14ac:dyDescent="0.35">
      <c r="A12" s="105" t="s">
        <v>197</v>
      </c>
      <c r="B12" s="63">
        <f t="shared" ref="B12:K12" si="5">B6*$N$3+B11*$N$2</f>
        <v>2614542.1680000001</v>
      </c>
      <c r="C12" s="63">
        <f t="shared" si="5"/>
        <v>2544791.088</v>
      </c>
      <c r="D12" s="63">
        <f t="shared" si="5"/>
        <v>2522881.7600000002</v>
      </c>
      <c r="E12" s="63">
        <f t="shared" si="5"/>
        <v>2449556.0460000001</v>
      </c>
      <c r="F12" s="63">
        <f t="shared" si="5"/>
        <v>2371758.7740000002</v>
      </c>
      <c r="G12" s="63">
        <f t="shared" si="5"/>
        <v>2343531.7919999999</v>
      </c>
      <c r="H12" s="63">
        <f t="shared" si="5"/>
        <v>2250049.978484482</v>
      </c>
      <c r="I12" s="63">
        <f t="shared" si="5"/>
        <v>2178819.6331959274</v>
      </c>
      <c r="J12" s="63">
        <f t="shared" si="5"/>
        <v>2105699.4817180396</v>
      </c>
      <c r="K12" s="63">
        <f t="shared" si="5"/>
        <v>2030657.3337976905</v>
      </c>
      <c r="L12" s="108" t="s">
        <v>209</v>
      </c>
    </row>
    <row r="13" spans="1:16" s="60" customFormat="1" ht="86.45" x14ac:dyDescent="0.3">
      <c r="A13" s="105"/>
      <c r="B13" s="146" t="s">
        <v>210</v>
      </c>
      <c r="C13" s="147"/>
      <c r="D13" s="147"/>
      <c r="E13" s="147"/>
      <c r="F13" s="147"/>
      <c r="G13" s="147"/>
      <c r="H13" s="147"/>
      <c r="I13" s="147"/>
      <c r="J13" s="148"/>
      <c r="K13" s="87">
        <v>25620.155967204973</v>
      </c>
      <c r="L13" s="108" t="s">
        <v>216</v>
      </c>
    </row>
    <row r="14" spans="1:16"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row>
    <row r="15" spans="1:16" s="60" customFormat="1" ht="28.9" x14ac:dyDescent="0.3">
      <c r="A15" s="105" t="s">
        <v>198</v>
      </c>
      <c r="B15" s="88">
        <f t="shared" ref="B15:K15" si="6">$K$13*B14</f>
        <v>20931.667425206462</v>
      </c>
      <c r="C15" s="88">
        <f t="shared" si="6"/>
        <v>20060.582122321495</v>
      </c>
      <c r="D15" s="88">
        <f t="shared" si="6"/>
        <v>19189.496819436525</v>
      </c>
      <c r="E15" s="88">
        <f t="shared" si="6"/>
        <v>18318.411516551554</v>
      </c>
      <c r="F15" s="88">
        <f t="shared" si="6"/>
        <v>17447.326213666587</v>
      </c>
      <c r="G15" s="88">
        <f t="shared" si="6"/>
        <v>16576.240910781617</v>
      </c>
      <c r="H15" s="88">
        <f t="shared" si="6"/>
        <v>15730.775763863854</v>
      </c>
      <c r="I15" s="88">
        <f t="shared" si="6"/>
        <v>14859.690460978883</v>
      </c>
      <c r="J15" s="88">
        <f t="shared" si="6"/>
        <v>13988.605158093917</v>
      </c>
      <c r="K15" s="88">
        <f t="shared" si="6"/>
        <v>13091.899699241741</v>
      </c>
      <c r="L15" s="108" t="s">
        <v>211</v>
      </c>
    </row>
    <row r="16" spans="1:16" s="60" customFormat="1" ht="30" x14ac:dyDescent="0.35">
      <c r="A16" s="105" t="s">
        <v>199</v>
      </c>
      <c r="B16" s="82">
        <f>B12/B3</f>
        <v>0.21299732529531568</v>
      </c>
      <c r="C16" s="82">
        <f t="shared" ref="C16:K16" si="7">C12/C3</f>
        <v>0.20552342820222905</v>
      </c>
      <c r="D16" s="82">
        <f t="shared" si="7"/>
        <v>0.20208921499519386</v>
      </c>
      <c r="E16" s="82">
        <f t="shared" si="7"/>
        <v>0.19457908062594328</v>
      </c>
      <c r="F16" s="82">
        <f t="shared" si="7"/>
        <v>0.18698823509933776</v>
      </c>
      <c r="G16" s="82">
        <f t="shared" si="7"/>
        <v>0.18344671561643836</v>
      </c>
      <c r="H16" s="82">
        <f t="shared" si="7"/>
        <v>0.1755406372553672</v>
      </c>
      <c r="I16" s="82">
        <f t="shared" si="7"/>
        <v>0.16819104533597148</v>
      </c>
      <c r="J16" s="82">
        <f t="shared" si="7"/>
        <v>0.16083259305951395</v>
      </c>
      <c r="K16" s="82">
        <f t="shared" si="7"/>
        <v>0.15346537385772233</v>
      </c>
      <c r="L16" s="89" t="s">
        <v>212</v>
      </c>
    </row>
    <row r="17" spans="1:14" s="60" customFormat="1" ht="30.6" thickBot="1" x14ac:dyDescent="0.4">
      <c r="A17" s="105" t="s">
        <v>200</v>
      </c>
      <c r="B17" s="81">
        <f>B15*B16</f>
        <v>4458.3891755400637</v>
      </c>
      <c r="C17" s="81">
        <f t="shared" ref="C17:K17" si="8">C15*C16</f>
        <v>4122.9196095118614</v>
      </c>
      <c r="D17" s="81">
        <f t="shared" si="8"/>
        <v>3877.9903483926964</v>
      </c>
      <c r="E17" s="81">
        <f t="shared" si="8"/>
        <v>3564.3796714182927</v>
      </c>
      <c r="F17" s="81">
        <f t="shared" si="8"/>
        <v>3262.4447358959264</v>
      </c>
      <c r="G17" s="81">
        <f t="shared" si="8"/>
        <v>3040.8569523497263</v>
      </c>
      <c r="H17" s="81">
        <f t="shared" si="8"/>
        <v>2761.3904021099465</v>
      </c>
      <c r="I17" s="81">
        <f t="shared" si="8"/>
        <v>2499.2668720010024</v>
      </c>
      <c r="J17" s="81">
        <f t="shared" si="8"/>
        <v>2249.8236408619368</v>
      </c>
      <c r="K17" s="81">
        <f t="shared" si="8"/>
        <v>2009.1532818519363</v>
      </c>
      <c r="L17" s="89" t="s">
        <v>213</v>
      </c>
    </row>
    <row r="18" spans="1:14" ht="43.9" thickBot="1" x14ac:dyDescent="0.35">
      <c r="A18" s="128" t="s">
        <v>201</v>
      </c>
      <c r="B18" s="84">
        <f t="shared" ref="B18:K18" si="9">B12*(B14/$N$7)-B17</f>
        <v>2505624.9848033087</v>
      </c>
      <c r="C18" s="84">
        <f t="shared" si="9"/>
        <v>2337324.1096548829</v>
      </c>
      <c r="D18" s="84">
        <f t="shared" si="9"/>
        <v>2216613.7114612432</v>
      </c>
      <c r="E18" s="84">
        <f t="shared" si="9"/>
        <v>2054523.2500465605</v>
      </c>
      <c r="F18" s="84">
        <f t="shared" si="9"/>
        <v>1894701.9795813784</v>
      </c>
      <c r="G18" s="84">
        <f t="shared" si="9"/>
        <v>1778704.2305024094</v>
      </c>
      <c r="H18" s="84">
        <f t="shared" si="9"/>
        <v>1620658.9230990321</v>
      </c>
      <c r="I18" s="84">
        <f t="shared" si="9"/>
        <v>1482477.6864225203</v>
      </c>
      <c r="J18" s="84">
        <f t="shared" si="9"/>
        <v>1348763.0048174809</v>
      </c>
      <c r="K18" s="84">
        <f t="shared" si="9"/>
        <v>1217339.7275296873</v>
      </c>
      <c r="L18" s="93" t="s">
        <v>214</v>
      </c>
      <c r="N18" s="60"/>
    </row>
    <row r="19" spans="1:14" x14ac:dyDescent="0.25">
      <c r="A19" s="85"/>
      <c r="B19" s="85"/>
      <c r="C19" s="85"/>
      <c r="D19" s="85"/>
      <c r="E19" s="85"/>
      <c r="F19" s="85"/>
      <c r="G19" s="85"/>
      <c r="H19" s="85"/>
      <c r="I19" s="85"/>
      <c r="J19" s="85"/>
      <c r="K19" s="85"/>
      <c r="N19" s="60"/>
    </row>
    <row r="23" spans="1:14" x14ac:dyDescent="0.25">
      <c r="N23" s="2"/>
    </row>
    <row r="25" spans="1:14" x14ac:dyDescent="0.25">
      <c r="N25" s="2"/>
    </row>
  </sheetData>
  <mergeCells count="3">
    <mergeCell ref="B1:L1"/>
    <mergeCell ref="N1:O1"/>
    <mergeCell ref="B13:J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defaultRowHeight="15" x14ac:dyDescent="0.25"/>
  <cols>
    <col min="1" max="1" width="32.28515625" customWidth="1"/>
    <col min="2" max="11" width="9" bestFit="1" customWidth="1"/>
    <col min="12" max="12" width="52" customWidth="1"/>
    <col min="15" max="15" width="43.5703125" customWidth="1"/>
  </cols>
  <sheetData>
    <row r="1" spans="1:15" s="60" customFormat="1" ht="14.45" x14ac:dyDescent="0.3">
      <c r="A1" s="103" t="s">
        <v>13</v>
      </c>
      <c r="B1" s="141" t="s">
        <v>176</v>
      </c>
      <c r="C1" s="142"/>
      <c r="D1" s="142"/>
      <c r="E1" s="142"/>
      <c r="F1" s="142"/>
      <c r="G1" s="142"/>
      <c r="H1" s="142"/>
      <c r="I1" s="142"/>
      <c r="J1" s="142"/>
      <c r="K1" s="142"/>
      <c r="L1" s="143"/>
      <c r="N1" s="144" t="s">
        <v>196</v>
      </c>
      <c r="O1" s="145"/>
    </row>
    <row r="2" spans="1:15" s="60" customFormat="1" ht="14.45" x14ac:dyDescent="0.3">
      <c r="A2" s="104" t="s">
        <v>152</v>
      </c>
      <c r="B2" s="125">
        <v>2021</v>
      </c>
      <c r="C2" s="125">
        <v>2022</v>
      </c>
      <c r="D2" s="125">
        <v>2023</v>
      </c>
      <c r="E2" s="125">
        <v>2024</v>
      </c>
      <c r="F2" s="125">
        <v>2025</v>
      </c>
      <c r="G2" s="125">
        <v>2026</v>
      </c>
      <c r="H2" s="125">
        <v>2027</v>
      </c>
      <c r="I2" s="125">
        <v>2028</v>
      </c>
      <c r="J2" s="125">
        <v>2029</v>
      </c>
      <c r="K2" s="124">
        <v>2030</v>
      </c>
      <c r="L2" s="92" t="s">
        <v>177</v>
      </c>
      <c r="N2" s="61">
        <v>0.43540000000000001</v>
      </c>
      <c r="O2" s="61" t="s">
        <v>273</v>
      </c>
    </row>
    <row r="3" spans="1:15" s="60" customFormat="1" ht="72.599999999999994" x14ac:dyDescent="0.35">
      <c r="A3" s="105" t="s">
        <v>169</v>
      </c>
      <c r="B3" s="63">
        <v>349864.36861659709</v>
      </c>
      <c r="C3" s="63">
        <v>349156.37031424325</v>
      </c>
      <c r="D3" s="63">
        <v>348227.67808764958</v>
      </c>
      <c r="E3" s="63">
        <v>347291.16</v>
      </c>
      <c r="F3" s="63">
        <v>346496.21600000001</v>
      </c>
      <c r="G3" s="63">
        <v>345601.90399999998</v>
      </c>
      <c r="H3" s="67">
        <f>AVERAGE(E3:G3)*(1+$N$9)</f>
        <v>347882.95849002805</v>
      </c>
      <c r="I3" s="67">
        <f t="shared" ref="I3:K4" si="0">H3*(1+$N$9)</f>
        <v>349308.64249756717</v>
      </c>
      <c r="J3" s="67">
        <f t="shared" si="0"/>
        <v>350740.16920259903</v>
      </c>
      <c r="K3" s="67">
        <f t="shared" si="0"/>
        <v>352177.56254949974</v>
      </c>
      <c r="L3" s="89" t="s">
        <v>272</v>
      </c>
      <c r="N3" s="64">
        <v>0.91839999999999999</v>
      </c>
      <c r="O3" s="9" t="s">
        <v>203</v>
      </c>
    </row>
    <row r="4" spans="1:15" s="60" customFormat="1" ht="57.6" x14ac:dyDescent="0.3">
      <c r="A4" s="105" t="s">
        <v>170</v>
      </c>
      <c r="B4" s="63">
        <f>SUMIFS('Form 1.1c'!J:J, 'Form 1.1c'!$B:$B, "City of Alameda")*1000</f>
        <v>359000</v>
      </c>
      <c r="C4" s="63">
        <f>SUMIFS('Form 1.1c'!K:K, 'Form 1.1c'!$B:$B, "City of Alameda")*1000</f>
        <v>362000</v>
      </c>
      <c r="D4" s="63">
        <f>SUMIFS('Form 1.1c'!L:L, 'Form 1.1c'!$B:$B, "City of Alameda")*1000</f>
        <v>365000</v>
      </c>
      <c r="E4" s="63">
        <f>SUMIFS('Form 1.1c'!M:M, 'Form 1.1c'!$B:$B, "City of Alameda")*1000</f>
        <v>366000</v>
      </c>
      <c r="F4" s="63">
        <f>SUMIFS('Form 1.1c'!N:N, 'Form 1.1c'!$B:$B, "City of Alameda")*1000</f>
        <v>368000</v>
      </c>
      <c r="G4" s="63">
        <f>SUMIFS('Form 1.1c'!O:O, 'Form 1.1c'!$B:$B, "City of Alameda")*1000</f>
        <v>369000</v>
      </c>
      <c r="H4" s="67">
        <f>AVERAGE(E4:G4)*(1+$N$9)</f>
        <v>369173.42770217999</v>
      </c>
      <c r="I4" s="63">
        <f t="shared" si="0"/>
        <v>370686.36370274721</v>
      </c>
      <c r="J4" s="63">
        <f t="shared" si="0"/>
        <v>372205.49997443374</v>
      </c>
      <c r="K4" s="63">
        <f t="shared" si="0"/>
        <v>373730.86192701373</v>
      </c>
      <c r="L4" s="89" t="s">
        <v>222</v>
      </c>
      <c r="N4" s="70">
        <f>0.15</f>
        <v>0.15</v>
      </c>
      <c r="O4" s="61" t="s">
        <v>166</v>
      </c>
    </row>
    <row r="5" spans="1:15" s="60" customFormat="1" ht="28.9" x14ac:dyDescent="0.3">
      <c r="A5" s="105" t="s">
        <v>194</v>
      </c>
      <c r="B5" s="63">
        <f t="shared" ref="B5:K5" si="1">IF(AND(0&lt;(B3-B4)/B3,(B3-B4)/B3&lt;$N$4),B4,B3*(1-$N$5))</f>
        <v>325373.86281343526</v>
      </c>
      <c r="C5" s="63">
        <f t="shared" si="1"/>
        <v>324715.42439224618</v>
      </c>
      <c r="D5" s="63">
        <f t="shared" si="1"/>
        <v>323851.74062151409</v>
      </c>
      <c r="E5" s="63">
        <f t="shared" si="1"/>
        <v>322980.77879999997</v>
      </c>
      <c r="F5" s="63">
        <f t="shared" si="1"/>
        <v>322241.48087999999</v>
      </c>
      <c r="G5" s="63">
        <f t="shared" si="1"/>
        <v>321409.77071999997</v>
      </c>
      <c r="H5" s="63">
        <f t="shared" si="1"/>
        <v>323531.15139572608</v>
      </c>
      <c r="I5" s="63">
        <f t="shared" si="1"/>
        <v>324857.03752273746</v>
      </c>
      <c r="J5" s="63">
        <f t="shared" si="1"/>
        <v>326188.35735841707</v>
      </c>
      <c r="K5" s="63">
        <f t="shared" si="1"/>
        <v>327525.13317103474</v>
      </c>
      <c r="L5" s="89" t="s">
        <v>271</v>
      </c>
      <c r="N5" s="70">
        <f>0.07</f>
        <v>7.0000000000000007E-2</v>
      </c>
      <c r="O5" s="61" t="s">
        <v>270</v>
      </c>
    </row>
    <row r="6" spans="1:15" s="60" customFormat="1" ht="14.45" x14ac:dyDescent="0.3">
      <c r="A6" s="105" t="s">
        <v>171</v>
      </c>
      <c r="B6" s="63">
        <v>0</v>
      </c>
      <c r="C6" s="63">
        <v>0</v>
      </c>
      <c r="D6" s="63">
        <v>0</v>
      </c>
      <c r="E6" s="63">
        <v>0</v>
      </c>
      <c r="F6" s="63">
        <v>0</v>
      </c>
      <c r="G6" s="63">
        <v>0</v>
      </c>
      <c r="H6" s="63">
        <v>0</v>
      </c>
      <c r="I6" s="63">
        <v>0</v>
      </c>
      <c r="J6" s="63">
        <v>0</v>
      </c>
      <c r="K6" s="63">
        <v>0</v>
      </c>
      <c r="L6" s="120" t="s">
        <v>269</v>
      </c>
      <c r="N6" s="65">
        <v>0.05</v>
      </c>
      <c r="O6" s="61" t="s">
        <v>268</v>
      </c>
    </row>
    <row r="7" spans="1:15" s="60" customFormat="1" ht="14.45" x14ac:dyDescent="0.3">
      <c r="A7" s="105" t="s">
        <v>172</v>
      </c>
      <c r="B7" s="63">
        <v>0</v>
      </c>
      <c r="C7" s="63">
        <v>0</v>
      </c>
      <c r="D7" s="63">
        <v>0</v>
      </c>
      <c r="E7" s="63">
        <v>0</v>
      </c>
      <c r="F7" s="63">
        <v>0</v>
      </c>
      <c r="G7" s="63">
        <v>0</v>
      </c>
      <c r="H7" s="63">
        <v>0</v>
      </c>
      <c r="I7" s="63">
        <v>0</v>
      </c>
      <c r="J7" s="63">
        <v>0</v>
      </c>
      <c r="K7" s="63">
        <v>0</v>
      </c>
      <c r="L7" s="120" t="s">
        <v>267</v>
      </c>
      <c r="N7" s="86">
        <v>0.85099999999999998</v>
      </c>
      <c r="O7" s="61" t="s">
        <v>168</v>
      </c>
    </row>
    <row r="8" spans="1:15" s="60" customFormat="1" ht="43.15" x14ac:dyDescent="0.3">
      <c r="A8" s="105" t="s">
        <v>173</v>
      </c>
      <c r="B8" s="63">
        <v>69051.999999999985</v>
      </c>
      <c r="C8" s="63">
        <v>69509.999999999985</v>
      </c>
      <c r="D8" s="63">
        <v>69507</v>
      </c>
      <c r="E8" s="63">
        <v>69554</v>
      </c>
      <c r="F8" s="63">
        <v>69676</v>
      </c>
      <c r="G8" s="63">
        <v>69606</v>
      </c>
      <c r="H8" s="67">
        <f t="shared" ref="H8" si="2">AVERAGE(E8:G8)</f>
        <v>69612</v>
      </c>
      <c r="I8" s="67">
        <f t="shared" ref="I8:K8" si="3">H8</f>
        <v>69612</v>
      </c>
      <c r="J8" s="67">
        <f t="shared" si="3"/>
        <v>69612</v>
      </c>
      <c r="K8" s="67">
        <f t="shared" si="3"/>
        <v>69612</v>
      </c>
      <c r="L8" s="89" t="s">
        <v>266</v>
      </c>
    </row>
    <row r="9" spans="1:15" s="60" customFormat="1" ht="28.9" x14ac:dyDescent="0.3">
      <c r="A9" s="105" t="s">
        <v>153</v>
      </c>
      <c r="B9" s="73">
        <v>0.34</v>
      </c>
      <c r="C9" s="59">
        <v>0.36</v>
      </c>
      <c r="D9" s="59">
        <v>0.37</v>
      </c>
      <c r="E9" s="59">
        <v>0.39</v>
      </c>
      <c r="F9" s="59">
        <v>0.41</v>
      </c>
      <c r="G9" s="59">
        <v>0.42</v>
      </c>
      <c r="H9" s="59">
        <v>0.44</v>
      </c>
      <c r="I9" s="59">
        <v>0.46</v>
      </c>
      <c r="J9" s="59">
        <v>0.48</v>
      </c>
      <c r="K9" s="59">
        <v>0.5</v>
      </c>
      <c r="L9" s="89" t="s">
        <v>248</v>
      </c>
      <c r="N9" s="66">
        <v>4.0981714474523923E-3</v>
      </c>
      <c r="O9" s="89" t="s">
        <v>206</v>
      </c>
    </row>
    <row r="10" spans="1:15" s="60" customFormat="1" ht="15.6" x14ac:dyDescent="0.3">
      <c r="A10" s="105" t="s">
        <v>174</v>
      </c>
      <c r="B10" s="63">
        <f>B5*B9</f>
        <v>110627.11335656799</v>
      </c>
      <c r="C10" s="63">
        <f t="shared" ref="C10:K10" si="4">C5*C9</f>
        <v>116897.55278120862</v>
      </c>
      <c r="D10" s="63">
        <f t="shared" si="4"/>
        <v>119825.14402996021</v>
      </c>
      <c r="E10" s="63">
        <f t="shared" si="4"/>
        <v>125962.503732</v>
      </c>
      <c r="F10" s="63">
        <f t="shared" si="4"/>
        <v>132119.00716079999</v>
      </c>
      <c r="G10" s="63">
        <f t="shared" si="4"/>
        <v>134992.1037024</v>
      </c>
      <c r="H10" s="63">
        <f t="shared" si="4"/>
        <v>142353.70661411947</v>
      </c>
      <c r="I10" s="63">
        <f t="shared" si="4"/>
        <v>149434.23726045925</v>
      </c>
      <c r="J10" s="63">
        <f t="shared" si="4"/>
        <v>156570.41153204019</v>
      </c>
      <c r="K10" s="63">
        <f t="shared" si="4"/>
        <v>163762.56658551737</v>
      </c>
      <c r="L10" s="89" t="s">
        <v>207</v>
      </c>
      <c r="N10" s="68"/>
      <c r="O10" s="62"/>
    </row>
    <row r="11" spans="1:15" s="60" customFormat="1" ht="28.9" x14ac:dyDescent="0.3">
      <c r="A11" s="105" t="s">
        <v>175</v>
      </c>
      <c r="B11" s="63">
        <f t="shared" ref="B11:K11" si="5">MAX(B3-SUM(B6:B8,B10), B3*$N$6)</f>
        <v>170185.25526002911</v>
      </c>
      <c r="C11" s="63">
        <f t="shared" si="5"/>
        <v>162748.81753303466</v>
      </c>
      <c r="D11" s="63">
        <f t="shared" si="5"/>
        <v>158895.53405768936</v>
      </c>
      <c r="E11" s="63">
        <f t="shared" si="5"/>
        <v>151774.65626799996</v>
      </c>
      <c r="F11" s="63">
        <f t="shared" si="5"/>
        <v>144701.20883920003</v>
      </c>
      <c r="G11" s="63">
        <f t="shared" si="5"/>
        <v>141003.80029759998</v>
      </c>
      <c r="H11" s="63">
        <f t="shared" si="5"/>
        <v>135917.25187590858</v>
      </c>
      <c r="I11" s="63">
        <f t="shared" si="5"/>
        <v>130262.40523710792</v>
      </c>
      <c r="J11" s="63">
        <f t="shared" si="5"/>
        <v>124557.75767055884</v>
      </c>
      <c r="K11" s="63">
        <f t="shared" si="5"/>
        <v>118802.99596398236</v>
      </c>
      <c r="L11" s="89" t="s">
        <v>208</v>
      </c>
      <c r="N11" s="68"/>
      <c r="O11" s="62"/>
    </row>
    <row r="12" spans="1:15" s="60" customFormat="1" ht="43.9" x14ac:dyDescent="0.35">
      <c r="A12" s="105" t="s">
        <v>197</v>
      </c>
      <c r="B12" s="63">
        <f t="shared" ref="B12:K12" si="6">B6*$N$3+B11*$N$2</f>
        <v>74098.660140216671</v>
      </c>
      <c r="C12" s="63">
        <f t="shared" si="6"/>
        <v>70860.835153883294</v>
      </c>
      <c r="D12" s="63">
        <f t="shared" si="6"/>
        <v>69183.115528717957</v>
      </c>
      <c r="E12" s="63">
        <f t="shared" si="6"/>
        <v>66082.685339087184</v>
      </c>
      <c r="F12" s="63">
        <f t="shared" si="6"/>
        <v>63002.906328587691</v>
      </c>
      <c r="G12" s="63">
        <f t="shared" si="6"/>
        <v>61393.054649575031</v>
      </c>
      <c r="H12" s="63">
        <f t="shared" si="6"/>
        <v>59178.371466770594</v>
      </c>
      <c r="I12" s="63">
        <f t="shared" si="6"/>
        <v>56716.251240236787</v>
      </c>
      <c r="J12" s="63">
        <f t="shared" si="6"/>
        <v>54232.44768976132</v>
      </c>
      <c r="K12" s="63">
        <f t="shared" si="6"/>
        <v>51726.824442717923</v>
      </c>
      <c r="L12" s="108" t="s">
        <v>209</v>
      </c>
    </row>
    <row r="13" spans="1:15" s="60" customFormat="1" ht="86.45" x14ac:dyDescent="0.3">
      <c r="A13" s="105"/>
      <c r="B13" s="146" t="s">
        <v>210</v>
      </c>
      <c r="C13" s="147"/>
      <c r="D13" s="147"/>
      <c r="E13" s="147"/>
      <c r="F13" s="147"/>
      <c r="G13" s="147"/>
      <c r="H13" s="147"/>
      <c r="I13" s="147"/>
      <c r="J13" s="148"/>
      <c r="K13" s="87">
        <v>0</v>
      </c>
      <c r="L13" s="108" t="s">
        <v>216</v>
      </c>
    </row>
    <row r="14" spans="1:15" s="60" customFormat="1"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row>
    <row r="15" spans="1:15" s="60" customFormat="1" ht="28.9" x14ac:dyDescent="0.3">
      <c r="A15" s="105" t="s">
        <v>198</v>
      </c>
      <c r="B15" s="88">
        <f t="shared" ref="B15:K15" si="7">$K$13*B14</f>
        <v>0</v>
      </c>
      <c r="C15" s="88">
        <f t="shared" si="7"/>
        <v>0</v>
      </c>
      <c r="D15" s="88">
        <f t="shared" si="7"/>
        <v>0</v>
      </c>
      <c r="E15" s="88">
        <f t="shared" si="7"/>
        <v>0</v>
      </c>
      <c r="F15" s="88">
        <f t="shared" si="7"/>
        <v>0</v>
      </c>
      <c r="G15" s="88">
        <f t="shared" si="7"/>
        <v>0</v>
      </c>
      <c r="H15" s="88">
        <f t="shared" si="7"/>
        <v>0</v>
      </c>
      <c r="I15" s="88">
        <f t="shared" si="7"/>
        <v>0</v>
      </c>
      <c r="J15" s="88">
        <f t="shared" si="7"/>
        <v>0</v>
      </c>
      <c r="K15" s="88">
        <f t="shared" si="7"/>
        <v>0</v>
      </c>
      <c r="L15" s="108" t="s">
        <v>211</v>
      </c>
    </row>
    <row r="16" spans="1:15" s="60" customFormat="1" ht="30" x14ac:dyDescent="0.35">
      <c r="A16" s="105" t="s">
        <v>199</v>
      </c>
      <c r="B16" s="82">
        <f>B12/B3</f>
        <v>0.21179253101197779</v>
      </c>
      <c r="C16" s="82">
        <f t="shared" ref="C16:K16" si="8">C12/C3</f>
        <v>0.20294871060238148</v>
      </c>
      <c r="D16" s="82">
        <f t="shared" si="8"/>
        <v>0.19867207543251181</v>
      </c>
      <c r="E16" s="82">
        <f t="shared" si="8"/>
        <v>0.19028035536259313</v>
      </c>
      <c r="F16" s="82">
        <f t="shared" si="8"/>
        <v>0.18182855517414276</v>
      </c>
      <c r="G16" s="82">
        <f t="shared" si="8"/>
        <v>0.1776409618668508</v>
      </c>
      <c r="H16" s="82">
        <f t="shared" si="8"/>
        <v>0.1701100040186847</v>
      </c>
      <c r="I16" s="82">
        <f t="shared" si="8"/>
        <v>0.162367157121318</v>
      </c>
      <c r="J16" s="82">
        <f t="shared" si="8"/>
        <v>0.1546228588902655</v>
      </c>
      <c r="K16" s="82">
        <f t="shared" si="8"/>
        <v>0.14687711524906572</v>
      </c>
      <c r="L16" s="89" t="s">
        <v>212</v>
      </c>
    </row>
    <row r="17" spans="1:15" s="60" customFormat="1" ht="30.6" thickBot="1" x14ac:dyDescent="0.4">
      <c r="A17" s="105" t="s">
        <v>200</v>
      </c>
      <c r="B17" s="81">
        <f>B15*B16</f>
        <v>0</v>
      </c>
      <c r="C17" s="81">
        <f t="shared" ref="C17:K17" si="9">C15*C16</f>
        <v>0</v>
      </c>
      <c r="D17" s="81">
        <f t="shared" si="9"/>
        <v>0</v>
      </c>
      <c r="E17" s="81">
        <f t="shared" si="9"/>
        <v>0</v>
      </c>
      <c r="F17" s="81">
        <f t="shared" si="9"/>
        <v>0</v>
      </c>
      <c r="G17" s="81">
        <f t="shared" si="9"/>
        <v>0</v>
      </c>
      <c r="H17" s="81">
        <f t="shared" si="9"/>
        <v>0</v>
      </c>
      <c r="I17" s="81">
        <f t="shared" si="9"/>
        <v>0</v>
      </c>
      <c r="J17" s="81">
        <f t="shared" si="9"/>
        <v>0</v>
      </c>
      <c r="K17" s="81">
        <f t="shared" si="9"/>
        <v>0</v>
      </c>
      <c r="L17" s="89" t="s">
        <v>213</v>
      </c>
    </row>
    <row r="18" spans="1:15" ht="43.9" thickBot="1" x14ac:dyDescent="0.35">
      <c r="A18" s="128" t="s">
        <v>201</v>
      </c>
      <c r="B18" s="84">
        <f t="shared" ref="B18:K18" si="10">B12*(B14/$N$7)-B17</f>
        <v>71138.196632851963</v>
      </c>
      <c r="C18" s="84">
        <f t="shared" si="10"/>
        <v>65198.629759683456</v>
      </c>
      <c r="D18" s="84">
        <f t="shared" si="10"/>
        <v>60890.897216227677</v>
      </c>
      <c r="E18" s="84">
        <f t="shared" si="10"/>
        <v>55521.880161512738</v>
      </c>
      <c r="F18" s="84">
        <f t="shared" si="10"/>
        <v>50417.13185636689</v>
      </c>
      <c r="G18" s="84">
        <f t="shared" si="10"/>
        <v>46676.035673648701</v>
      </c>
      <c r="H18" s="84">
        <f t="shared" si="10"/>
        <v>42697.438402581836</v>
      </c>
      <c r="I18" s="84">
        <f t="shared" si="10"/>
        <v>38655.024347047394</v>
      </c>
      <c r="J18" s="84">
        <f t="shared" si="10"/>
        <v>34795.436473101865</v>
      </c>
      <c r="K18" s="84">
        <f t="shared" si="10"/>
        <v>31060.408096626157</v>
      </c>
      <c r="L18" s="93" t="s">
        <v>214</v>
      </c>
      <c r="M18" s="60"/>
      <c r="N18" s="60"/>
      <c r="O18" s="60"/>
    </row>
    <row r="19" spans="1:15" ht="15.75" x14ac:dyDescent="0.25">
      <c r="A19" s="85"/>
      <c r="B19" s="85"/>
      <c r="C19" s="85"/>
      <c r="D19" s="85"/>
      <c r="E19" s="85"/>
      <c r="F19" s="85"/>
      <c r="G19" s="85"/>
      <c r="H19" s="85"/>
      <c r="I19" s="85"/>
      <c r="J19" s="85"/>
      <c r="K19" s="85"/>
      <c r="O19" s="4"/>
    </row>
  </sheetData>
  <mergeCells count="3">
    <mergeCell ref="B1:L1"/>
    <mergeCell ref="N1:O1"/>
    <mergeCell ref="B13:J13"/>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heetViews>
  <sheetFormatPr defaultRowHeight="15" x14ac:dyDescent="0.25"/>
  <cols>
    <col min="1" max="1" width="31.7109375" customWidth="1"/>
    <col min="2" max="11" width="11.5703125" bestFit="1" customWidth="1"/>
    <col min="12" max="12" width="49.28515625" customWidth="1"/>
    <col min="14" max="14" width="8.7109375" customWidth="1"/>
    <col min="15" max="15" width="34.140625" customWidth="1"/>
    <col min="17" max="17" width="14.28515625" customWidth="1"/>
  </cols>
  <sheetData>
    <row r="1" spans="1:18" s="60" customFormat="1" ht="15.6" x14ac:dyDescent="0.3">
      <c r="A1" s="103" t="s">
        <v>191</v>
      </c>
      <c r="B1" s="141" t="s">
        <v>176</v>
      </c>
      <c r="C1" s="142"/>
      <c r="D1" s="142"/>
      <c r="E1" s="142"/>
      <c r="F1" s="142"/>
      <c r="G1" s="142"/>
      <c r="H1" s="142"/>
      <c r="I1" s="142"/>
      <c r="J1" s="142"/>
      <c r="K1" s="142"/>
      <c r="L1" s="143"/>
      <c r="N1" s="144" t="s">
        <v>196</v>
      </c>
      <c r="O1" s="145"/>
      <c r="P1" s="62"/>
    </row>
    <row r="2" spans="1:18" s="60" customFormat="1" ht="30"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58.9" x14ac:dyDescent="0.35">
      <c r="A3" s="105" t="s">
        <v>169</v>
      </c>
      <c r="B3" s="63">
        <f>SUMIFS('Form 1.5a'!J:J, 'Form 1.5a'!$A:$A, "SDG&amp;E Service Area*")*1000</f>
        <v>21674000</v>
      </c>
      <c r="C3" s="63">
        <f>SUMIFS('Form 1.5a'!K:K, 'Form 1.5a'!$A:$A, "SDG&amp;E Service Area*")*1000</f>
        <v>21866000</v>
      </c>
      <c r="D3" s="63">
        <f>SUMIFS('Form 1.5a'!L:L, 'Form 1.5a'!$A:$A, "SDG&amp;E Service Area*")*1000</f>
        <v>21956000</v>
      </c>
      <c r="E3" s="63">
        <f>SUMIFS('Form 1.5a'!M:M, 'Form 1.5a'!$A:$A, "SDG&amp;E Service Area*")*1000</f>
        <v>22049000</v>
      </c>
      <c r="F3" s="63">
        <f>SUMIFS('Form 1.5a'!N:N, 'Form 1.5a'!$A:$A, "SDG&amp;E Service Area*")*1000</f>
        <v>22132000</v>
      </c>
      <c r="G3" s="63">
        <f>SUMIFS('Form 1.5a'!O:O, 'Form 1.5a'!$A:$A, "SDG&amp;E Service Area*")*1000</f>
        <v>22202000</v>
      </c>
      <c r="H3" s="67">
        <f>AVERAGE(E3:G3)*(1+$N$9)</f>
        <v>22183383.826656554</v>
      </c>
      <c r="I3" s="67">
        <f t="shared" ref="I3:K4" si="0">H3*(1+$N$9)</f>
        <v>22239241.281688124</v>
      </c>
      <c r="J3" s="67">
        <f t="shared" si="0"/>
        <v>22295239.385022361</v>
      </c>
      <c r="K3" s="67">
        <f t="shared" si="0"/>
        <v>22351378.490809754</v>
      </c>
      <c r="L3" s="89" t="s">
        <v>218</v>
      </c>
      <c r="N3" s="64">
        <v>0.91839999999999999</v>
      </c>
      <c r="O3" s="9" t="s">
        <v>203</v>
      </c>
    </row>
    <row r="4" spans="1:18" s="60" customFormat="1" ht="57.6" x14ac:dyDescent="0.3">
      <c r="A4" s="105" t="s">
        <v>170</v>
      </c>
      <c r="B4" s="63">
        <f>SUMIFS('Form 1.1c'!J:J, 'Form 1.1c'!$B:$B, "San Diego Gas and Electric*")*1000</f>
        <v>20249000</v>
      </c>
      <c r="C4" s="63">
        <f>SUMIFS('Form 1.1c'!K:K, 'Form 1.1c'!$B:$B, "San Diego Gas and Electric*")*1000</f>
        <v>20430000</v>
      </c>
      <c r="D4" s="63">
        <f>SUMIFS('Form 1.1c'!L:L, 'Form 1.1c'!$B:$B, "San Diego Gas and Electric*")*1000</f>
        <v>20516000</v>
      </c>
      <c r="E4" s="63">
        <f>SUMIFS('Form 1.1c'!M:M, 'Form 1.1c'!$B:$B, "San Diego Gas and Electric*")*1000</f>
        <v>20604000</v>
      </c>
      <c r="F4" s="63">
        <f>SUMIFS('Form 1.1c'!N:N, 'Form 1.1c'!$B:$B, "San Diego Gas and Electric*")*1000</f>
        <v>20683000</v>
      </c>
      <c r="G4" s="63">
        <f>SUMIFS('Form 1.1c'!O:O, 'Form 1.1c'!$B:$B, "San Diego Gas and Electric*")*1000</f>
        <v>20751000</v>
      </c>
      <c r="H4" s="67">
        <f>AVERAGE(E4:G4)*(1+$N$9)</f>
        <v>20731403.60993205</v>
      </c>
      <c r="I4" s="63">
        <f t="shared" si="0"/>
        <v>20783604.998770285</v>
      </c>
      <c r="J4" s="63">
        <f t="shared" si="0"/>
        <v>20835937.829986852</v>
      </c>
      <c r="K4" s="63">
        <f t="shared" si="0"/>
        <v>20888402.43455185</v>
      </c>
      <c r="L4" s="89" t="s">
        <v>222</v>
      </c>
      <c r="N4" s="70">
        <f>0.15</f>
        <v>0.15</v>
      </c>
      <c r="O4" s="89" t="s">
        <v>166</v>
      </c>
    </row>
    <row r="5" spans="1:18" s="60" customFormat="1" ht="28.9" x14ac:dyDescent="0.3">
      <c r="A5" s="105" t="s">
        <v>194</v>
      </c>
      <c r="B5" s="63">
        <f t="shared" ref="B5:K5" si="1">IF(AND(0&lt;(B3-B4)/B3,(B3-B4)/B3&lt;$N$4),B4,B3*(1-$N$5))</f>
        <v>20249000</v>
      </c>
      <c r="C5" s="63">
        <f t="shared" si="1"/>
        <v>20430000</v>
      </c>
      <c r="D5" s="63">
        <f t="shared" si="1"/>
        <v>20516000</v>
      </c>
      <c r="E5" s="63">
        <f t="shared" si="1"/>
        <v>20604000</v>
      </c>
      <c r="F5" s="63">
        <f t="shared" si="1"/>
        <v>20683000</v>
      </c>
      <c r="G5" s="63">
        <f t="shared" si="1"/>
        <v>20751000</v>
      </c>
      <c r="H5" s="63">
        <f t="shared" si="1"/>
        <v>20731403.60993205</v>
      </c>
      <c r="I5" s="63">
        <f t="shared" si="1"/>
        <v>20783604.998770285</v>
      </c>
      <c r="J5" s="63">
        <f t="shared" si="1"/>
        <v>20835937.829986852</v>
      </c>
      <c r="K5" s="63">
        <f t="shared" si="1"/>
        <v>20888402.43455185</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19" t="s">
        <v>242</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19" t="s">
        <v>243</v>
      </c>
      <c r="N7" s="86">
        <v>0.85099999999999998</v>
      </c>
      <c r="O7" s="89" t="s">
        <v>168</v>
      </c>
    </row>
    <row r="8" spans="1:18" s="60" customFormat="1" ht="28.9" x14ac:dyDescent="0.3">
      <c r="A8" s="105" t="s">
        <v>173</v>
      </c>
      <c r="B8" s="63">
        <v>43440</v>
      </c>
      <c r="C8" s="63">
        <v>43400.000000000007</v>
      </c>
      <c r="D8" s="63">
        <v>42600</v>
      </c>
      <c r="E8" s="63">
        <v>41800</v>
      </c>
      <c r="F8" s="63">
        <f>AVERAGE(C8:E8)</f>
        <v>42600</v>
      </c>
      <c r="G8" s="63">
        <f>F8</f>
        <v>42600</v>
      </c>
      <c r="H8" s="63">
        <f t="shared" ref="H8:K8" si="2">G8</f>
        <v>42600</v>
      </c>
      <c r="I8" s="63">
        <f t="shared" si="2"/>
        <v>42600</v>
      </c>
      <c r="J8" s="63">
        <f t="shared" si="2"/>
        <v>42600</v>
      </c>
      <c r="K8" s="63">
        <f t="shared" si="2"/>
        <v>42600</v>
      </c>
      <c r="L8" s="89" t="s">
        <v>251</v>
      </c>
      <c r="O8" s="107"/>
    </row>
    <row r="9" spans="1:18" s="60" customFormat="1" ht="28.9" x14ac:dyDescent="0.3">
      <c r="A9" s="105" t="s">
        <v>153</v>
      </c>
      <c r="B9" s="59">
        <v>0.34</v>
      </c>
      <c r="C9" s="59">
        <v>0.36</v>
      </c>
      <c r="D9" s="59">
        <v>0.37</v>
      </c>
      <c r="E9" s="59">
        <v>0.39</v>
      </c>
      <c r="F9" s="59">
        <v>0.41</v>
      </c>
      <c r="G9" s="59">
        <v>0.42</v>
      </c>
      <c r="H9" s="59">
        <v>0.44</v>
      </c>
      <c r="I9" s="59">
        <v>0.46</v>
      </c>
      <c r="J9" s="59">
        <v>0.48</v>
      </c>
      <c r="K9" s="59">
        <v>0.5</v>
      </c>
      <c r="L9" s="89" t="s">
        <v>248</v>
      </c>
      <c r="N9" s="66">
        <v>2.5179862309576695E-3</v>
      </c>
      <c r="O9" s="89" t="s">
        <v>206</v>
      </c>
    </row>
    <row r="10" spans="1:18" s="60" customFormat="1" ht="14.45" x14ac:dyDescent="0.3">
      <c r="A10" s="105" t="s">
        <v>174</v>
      </c>
      <c r="B10" s="63">
        <f>B5*B9</f>
        <v>6884660.0000000009</v>
      </c>
      <c r="C10" s="63">
        <f t="shared" ref="C10:K10" si="3">C5*C9</f>
        <v>7354800</v>
      </c>
      <c r="D10" s="63">
        <f t="shared" si="3"/>
        <v>7590920</v>
      </c>
      <c r="E10" s="63">
        <f t="shared" si="3"/>
        <v>8035560</v>
      </c>
      <c r="F10" s="63">
        <f t="shared" si="3"/>
        <v>8480030</v>
      </c>
      <c r="G10" s="63">
        <f t="shared" si="3"/>
        <v>8715420</v>
      </c>
      <c r="H10" s="63">
        <f t="shared" si="3"/>
        <v>9121817.5883701015</v>
      </c>
      <c r="I10" s="63">
        <f t="shared" si="3"/>
        <v>9560458.2994343322</v>
      </c>
      <c r="J10" s="63">
        <f t="shared" si="3"/>
        <v>10001250.158393688</v>
      </c>
      <c r="K10" s="63">
        <f t="shared" si="3"/>
        <v>10444201.217275925</v>
      </c>
      <c r="L10" s="89" t="s">
        <v>207</v>
      </c>
    </row>
    <row r="11" spans="1:18" s="60" customFormat="1" ht="28.9" x14ac:dyDescent="0.3">
      <c r="A11" s="105" t="s">
        <v>175</v>
      </c>
      <c r="B11" s="63">
        <f t="shared" ref="B11:K11" si="4">MAX(B3-SUM(B6:B8,B10), B3*$N$6)</f>
        <v>14745900</v>
      </c>
      <c r="C11" s="63">
        <f t="shared" si="4"/>
        <v>14467800</v>
      </c>
      <c r="D11" s="63">
        <f t="shared" si="4"/>
        <v>14322480</v>
      </c>
      <c r="E11" s="63">
        <f t="shared" si="4"/>
        <v>13971640</v>
      </c>
      <c r="F11" s="63">
        <f t="shared" si="4"/>
        <v>13609370</v>
      </c>
      <c r="G11" s="63">
        <f t="shared" si="4"/>
        <v>13443980</v>
      </c>
      <c r="H11" s="63">
        <f t="shared" si="4"/>
        <v>13018966.238286452</v>
      </c>
      <c r="I11" s="63">
        <f t="shared" si="4"/>
        <v>12636182.982253792</v>
      </c>
      <c r="J11" s="63">
        <f t="shared" si="4"/>
        <v>12251389.226628672</v>
      </c>
      <c r="K11" s="63">
        <f t="shared" si="4"/>
        <v>11864577.273533829</v>
      </c>
      <c r="L11" s="89" t="s">
        <v>208</v>
      </c>
    </row>
    <row r="12" spans="1:18" s="60" customFormat="1" ht="43.9" x14ac:dyDescent="0.35">
      <c r="A12" s="105" t="s">
        <v>197</v>
      </c>
      <c r="B12" s="63">
        <f t="shared" ref="B12:K12" si="5">B6*$N$3+B11*$N$2</f>
        <v>6420364.8600000003</v>
      </c>
      <c r="C12" s="63">
        <f t="shared" si="5"/>
        <v>6299280.1200000001</v>
      </c>
      <c r="D12" s="63">
        <f t="shared" si="5"/>
        <v>6236007.7920000004</v>
      </c>
      <c r="E12" s="63">
        <f t="shared" si="5"/>
        <v>6083252.0559999999</v>
      </c>
      <c r="F12" s="63">
        <f t="shared" si="5"/>
        <v>5925519.6979999999</v>
      </c>
      <c r="G12" s="63">
        <f t="shared" si="5"/>
        <v>5853508.892</v>
      </c>
      <c r="H12" s="63">
        <f t="shared" si="5"/>
        <v>5668457.9001499219</v>
      </c>
      <c r="I12" s="63">
        <f t="shared" si="5"/>
        <v>5501794.0704733012</v>
      </c>
      <c r="J12" s="63">
        <f t="shared" si="5"/>
        <v>5334254.8692741245</v>
      </c>
      <c r="K12" s="63">
        <f t="shared" si="5"/>
        <v>5165836.9448966291</v>
      </c>
      <c r="L12" s="108" t="s">
        <v>209</v>
      </c>
    </row>
    <row r="13" spans="1:18" s="60" customFormat="1" ht="86.45" x14ac:dyDescent="0.3">
      <c r="A13" s="105"/>
      <c r="B13" s="146" t="s">
        <v>210</v>
      </c>
      <c r="C13" s="147"/>
      <c r="D13" s="147"/>
      <c r="E13" s="147"/>
      <c r="F13" s="147"/>
      <c r="G13" s="147"/>
      <c r="H13" s="147"/>
      <c r="I13" s="147"/>
      <c r="J13" s="148"/>
      <c r="K13" s="87">
        <v>22848.564647086558</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6">$K$13*B14</f>
        <v>18667.277316669715</v>
      </c>
      <c r="C15" s="88">
        <f t="shared" si="6"/>
        <v>17890.426118668776</v>
      </c>
      <c r="D15" s="88">
        <f t="shared" si="6"/>
        <v>17113.57492066783</v>
      </c>
      <c r="E15" s="88">
        <f t="shared" si="6"/>
        <v>16336.723722666888</v>
      </c>
      <c r="F15" s="88">
        <f t="shared" si="6"/>
        <v>15559.872524665947</v>
      </c>
      <c r="G15" s="88">
        <f t="shared" si="6"/>
        <v>14783.021326665003</v>
      </c>
      <c r="H15" s="88">
        <f t="shared" si="6"/>
        <v>14029.018693311145</v>
      </c>
      <c r="I15" s="88">
        <f t="shared" si="6"/>
        <v>13252.167495310203</v>
      </c>
      <c r="J15" s="88">
        <f t="shared" si="6"/>
        <v>12475.316297309262</v>
      </c>
      <c r="K15" s="88">
        <f t="shared" si="6"/>
        <v>11675.616534661231</v>
      </c>
      <c r="L15" s="108" t="s">
        <v>211</v>
      </c>
    </row>
    <row r="16" spans="1:18" s="60" customFormat="1" ht="30" x14ac:dyDescent="0.35">
      <c r="A16" s="105" t="s">
        <v>199</v>
      </c>
      <c r="B16" s="82">
        <f>B12/B3</f>
        <v>0.29622427147734615</v>
      </c>
      <c r="C16" s="82">
        <f t="shared" ref="C16:K16" si="7">C12/C3</f>
        <v>0.28808561785420289</v>
      </c>
      <c r="D16" s="82">
        <f t="shared" si="7"/>
        <v>0.28402294552741847</v>
      </c>
      <c r="E16" s="82">
        <f t="shared" si="7"/>
        <v>0.27589695931788288</v>
      </c>
      <c r="F16" s="82">
        <f t="shared" si="7"/>
        <v>0.26773539210193387</v>
      </c>
      <c r="G16" s="82">
        <f t="shared" si="7"/>
        <v>0.26364781965588685</v>
      </c>
      <c r="H16" s="82">
        <f t="shared" si="7"/>
        <v>0.25552719749357838</v>
      </c>
      <c r="I16" s="82">
        <f t="shared" si="7"/>
        <v>0.24739126667075192</v>
      </c>
      <c r="J16" s="82">
        <f t="shared" si="7"/>
        <v>0.23925533057328841</v>
      </c>
      <c r="K16" s="82">
        <f t="shared" si="7"/>
        <v>0.23111938921443584</v>
      </c>
      <c r="L16" s="89" t="s">
        <v>212</v>
      </c>
    </row>
    <row r="17" spans="1:18" s="60" customFormat="1" ht="30.6" thickBot="1" x14ac:dyDescent="0.4">
      <c r="A17" s="105" t="s">
        <v>200</v>
      </c>
      <c r="B17" s="81">
        <f>B15*B16</f>
        <v>5529.7006235960753</v>
      </c>
      <c r="C17" s="81">
        <f t="shared" ref="C17:K17" si="8">C15*C16</f>
        <v>5153.9744620716638</v>
      </c>
      <c r="D17" s="81">
        <f t="shared" si="8"/>
        <v>4860.6479574722343</v>
      </c>
      <c r="E17" s="81">
        <f t="shared" si="8"/>
        <v>4507.2524003001181</v>
      </c>
      <c r="F17" s="81">
        <f t="shared" si="8"/>
        <v>4165.9285714475445</v>
      </c>
      <c r="G17" s="81">
        <f t="shared" si="8"/>
        <v>3897.5113407017038</v>
      </c>
      <c r="H17" s="81">
        <f t="shared" si="8"/>
        <v>3584.7958302868201</v>
      </c>
      <c r="I17" s="81">
        <f t="shared" si="8"/>
        <v>3278.470502797757</v>
      </c>
      <c r="J17" s="81">
        <f t="shared" si="8"/>
        <v>2984.7859247190599</v>
      </c>
      <c r="K17" s="81">
        <f t="shared" si="8"/>
        <v>2698.4613621928715</v>
      </c>
      <c r="L17" s="89" t="s">
        <v>213</v>
      </c>
    </row>
    <row r="18" spans="1:18" ht="43.9" thickBot="1" x14ac:dyDescent="0.35">
      <c r="A18" s="128" t="s">
        <v>201</v>
      </c>
      <c r="B18" s="84">
        <f t="shared" ref="B18:K18" si="9">B12*(B14/$N$7)-B17</f>
        <v>6158322.3447583076</v>
      </c>
      <c r="C18" s="84">
        <f t="shared" si="9"/>
        <v>5790775.9126824643</v>
      </c>
      <c r="D18" s="84">
        <f t="shared" si="9"/>
        <v>5483705.5520519288</v>
      </c>
      <c r="E18" s="84">
        <f t="shared" si="9"/>
        <v>5106568.2118065152</v>
      </c>
      <c r="F18" s="84">
        <f t="shared" si="9"/>
        <v>4737642.431402701</v>
      </c>
      <c r="G18" s="84">
        <f t="shared" si="9"/>
        <v>4446420.059897841</v>
      </c>
      <c r="H18" s="84">
        <f t="shared" si="9"/>
        <v>4086230.8924094918</v>
      </c>
      <c r="I18" s="84">
        <f t="shared" si="9"/>
        <v>3746475.4200665494</v>
      </c>
      <c r="J18" s="84">
        <f t="shared" si="9"/>
        <v>3419463.1090502189</v>
      </c>
      <c r="K18" s="84">
        <f t="shared" si="9"/>
        <v>3099231.8310492965</v>
      </c>
      <c r="L18" s="93" t="s">
        <v>214</v>
      </c>
      <c r="N18" s="60"/>
      <c r="O18" s="60"/>
      <c r="P18" s="60"/>
      <c r="Q18" s="60"/>
      <c r="R18" s="60"/>
    </row>
    <row r="19" spans="1:18" ht="14.45" x14ac:dyDescent="0.3">
      <c r="A19" s="85"/>
      <c r="B19" s="85"/>
      <c r="C19" s="85"/>
      <c r="D19" s="85"/>
      <c r="E19" s="85"/>
      <c r="F19" s="85"/>
      <c r="G19" s="85"/>
      <c r="H19" s="85"/>
      <c r="I19" s="85"/>
      <c r="J19" s="85"/>
      <c r="K19" s="85"/>
    </row>
    <row r="25" spans="1:18" x14ac:dyDescent="0.25">
      <c r="N25" s="2"/>
    </row>
    <row r="26" spans="1:18" x14ac:dyDescent="0.25">
      <c r="N26" s="2"/>
    </row>
  </sheetData>
  <mergeCells count="3">
    <mergeCell ref="B1:L1"/>
    <mergeCell ref="N1:O1"/>
    <mergeCell ref="B13:J13"/>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heetViews>
  <sheetFormatPr defaultRowHeight="15" x14ac:dyDescent="0.25"/>
  <cols>
    <col min="1" max="1" width="27.85546875" customWidth="1"/>
    <col min="2" max="11" width="10.5703125" bestFit="1" customWidth="1"/>
    <col min="12" max="12" width="49.28515625" customWidth="1"/>
    <col min="14" max="14" width="8.7109375" customWidth="1"/>
    <col min="15" max="15" width="41.7109375" customWidth="1"/>
  </cols>
  <sheetData>
    <row r="1" spans="1:18" s="60" customFormat="1" ht="28.9" x14ac:dyDescent="0.3">
      <c r="A1" s="103" t="s">
        <v>24</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58.15" x14ac:dyDescent="0.35">
      <c r="A3" s="105" t="s">
        <v>169</v>
      </c>
      <c r="B3" s="63">
        <f>SUMIFS('Form 1.5a'!J:J, 'Form 1.5a'!$B:$B, "Silicon Valley Power")*1000</f>
        <v>3390000</v>
      </c>
      <c r="C3" s="63">
        <f>SUMIFS('Form 1.5a'!K:K, 'Form 1.5a'!$B:$B, "Silicon Valley Power")*1000</f>
        <v>3415000</v>
      </c>
      <c r="D3" s="63">
        <f>SUMIFS('Form 1.5a'!L:L, 'Form 1.5a'!$B:$B, "Silicon Valley Power")*1000</f>
        <v>3438000</v>
      </c>
      <c r="E3" s="63">
        <f>SUMIFS('Form 1.5a'!M:M, 'Form 1.5a'!$B:$B, "Silicon Valley Power")*1000</f>
        <v>3454000</v>
      </c>
      <c r="F3" s="63">
        <f>SUMIFS('Form 1.5a'!N:N, 'Form 1.5a'!$B:$B, "Silicon Valley Power")*1000</f>
        <v>3467000</v>
      </c>
      <c r="G3" s="63">
        <f>SUMIFS('Form 1.5a'!O:O, 'Form 1.5a'!$B:$B, "Silicon Valley Power")*1000</f>
        <v>3480000</v>
      </c>
      <c r="H3" s="67">
        <f>AVERAGE(E3:G3)*(1+$N$9)</f>
        <v>3481237.54717959</v>
      </c>
      <c r="I3" s="67">
        <f t="shared" ref="I3:K4" si="0">H3*(1+$N$9)</f>
        <v>3495533.5621266132</v>
      </c>
      <c r="J3" s="67">
        <f t="shared" si="0"/>
        <v>3509888.2849442125</v>
      </c>
      <c r="K3" s="67">
        <f t="shared" si="0"/>
        <v>3524301.9567215368</v>
      </c>
      <c r="L3" s="89" t="s">
        <v>218</v>
      </c>
      <c r="N3" s="64">
        <v>0.91839999999999999</v>
      </c>
      <c r="O3" s="9" t="s">
        <v>203</v>
      </c>
    </row>
    <row r="4" spans="1:18" s="60" customFormat="1" ht="57.6" x14ac:dyDescent="0.3">
      <c r="A4" s="105" t="s">
        <v>170</v>
      </c>
      <c r="B4" s="63">
        <f>SUMIFS('Form 1.1c'!J:J, 'Form 1.1c'!$B:$B, "Silicon Valley Power")*1000</f>
        <v>3097000</v>
      </c>
      <c r="C4" s="63">
        <f>SUMIFS('Form 1.1c'!K:K, 'Form 1.1c'!$B:$B, "Silicon Valley Power")*1000</f>
        <v>3120000</v>
      </c>
      <c r="D4" s="63">
        <f>SUMIFS('Form 1.1c'!L:L, 'Form 1.1c'!$B:$B, "Silicon Valley Power")*1000</f>
        <v>3142000</v>
      </c>
      <c r="E4" s="63">
        <f>SUMIFS('Form 1.1c'!M:M, 'Form 1.1c'!$B:$B, "Silicon Valley Power")*1000</f>
        <v>3156000</v>
      </c>
      <c r="F4" s="63">
        <f>SUMIFS('Form 1.1c'!N:N, 'Form 1.1c'!$B:$B, "Silicon Valley Power")*1000</f>
        <v>3169000</v>
      </c>
      <c r="G4" s="63">
        <f>SUMIFS('Form 1.1c'!O:O, 'Form 1.1c'!$B:$B, "Silicon Valley Power")*1000</f>
        <v>3181000</v>
      </c>
      <c r="H4" s="67">
        <f>AVERAGE(E4:G4)*(1+$N$9)</f>
        <v>3181679.0811930755</v>
      </c>
      <c r="I4" s="63">
        <f t="shared" si="0"/>
        <v>3194744.9323695395</v>
      </c>
      <c r="J4" s="63">
        <f t="shared" si="0"/>
        <v>3207864.4396384656</v>
      </c>
      <c r="K4" s="63">
        <f t="shared" si="0"/>
        <v>3221037.8233434213</v>
      </c>
      <c r="L4" s="89" t="s">
        <v>222</v>
      </c>
      <c r="N4" s="70">
        <f>0.15</f>
        <v>0.15</v>
      </c>
      <c r="O4" s="89" t="s">
        <v>166</v>
      </c>
    </row>
    <row r="5" spans="1:18" s="60" customFormat="1" ht="28.9" x14ac:dyDescent="0.3">
      <c r="A5" s="105" t="s">
        <v>194</v>
      </c>
      <c r="B5" s="63">
        <f t="shared" ref="B5:K5" si="1">IF(AND(0&lt;(B3-B4)/B3,(B3-B4)/B3&lt;$N$4),B4,B3*(1-$N$5))</f>
        <v>3097000</v>
      </c>
      <c r="C5" s="63">
        <f t="shared" si="1"/>
        <v>3120000</v>
      </c>
      <c r="D5" s="63">
        <f t="shared" si="1"/>
        <v>3142000</v>
      </c>
      <c r="E5" s="63">
        <f t="shared" si="1"/>
        <v>3156000</v>
      </c>
      <c r="F5" s="63">
        <f t="shared" si="1"/>
        <v>3169000</v>
      </c>
      <c r="G5" s="63">
        <f t="shared" si="1"/>
        <v>3181000</v>
      </c>
      <c r="H5" s="63">
        <f t="shared" si="1"/>
        <v>3181679.0811930755</v>
      </c>
      <c r="I5" s="63">
        <f t="shared" si="1"/>
        <v>3194744.9323695395</v>
      </c>
      <c r="J5" s="63">
        <f t="shared" si="1"/>
        <v>3207864.4396384656</v>
      </c>
      <c r="K5" s="63">
        <f t="shared" si="1"/>
        <v>3221037.8233434213</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19" t="s">
        <v>242</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19" t="s">
        <v>243</v>
      </c>
      <c r="N7" s="86">
        <v>0.85099999999999998</v>
      </c>
      <c r="O7" s="89" t="s">
        <v>168</v>
      </c>
    </row>
    <row r="8" spans="1:18" s="60" customFormat="1" ht="28.9" x14ac:dyDescent="0.3">
      <c r="A8" s="105" t="s">
        <v>173</v>
      </c>
      <c r="B8" s="67">
        <v>754601.40557885997</v>
      </c>
      <c r="C8" s="67">
        <v>754601.40557454992</v>
      </c>
      <c r="D8" s="67">
        <v>754601.40557669988</v>
      </c>
      <c r="E8" s="67">
        <v>754601.40557891014</v>
      </c>
      <c r="F8" s="63">
        <f>AVERAGE(C8:E8)</f>
        <v>754601.4055767199</v>
      </c>
      <c r="G8" s="63">
        <f>F8</f>
        <v>754601.4055767199</v>
      </c>
      <c r="H8" s="63">
        <f t="shared" ref="H8:K8" si="2">G8</f>
        <v>754601.4055767199</v>
      </c>
      <c r="I8" s="63">
        <f t="shared" si="2"/>
        <v>754601.4055767199</v>
      </c>
      <c r="J8" s="63">
        <f t="shared" si="2"/>
        <v>754601.4055767199</v>
      </c>
      <c r="K8" s="63">
        <f t="shared" si="2"/>
        <v>754601.4055767199</v>
      </c>
      <c r="L8" s="89" t="s">
        <v>251</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4.1065898989298688E-3</v>
      </c>
      <c r="O9" s="89" t="s">
        <v>206</v>
      </c>
    </row>
    <row r="10" spans="1:18" s="60" customFormat="1" ht="15.6" x14ac:dyDescent="0.3">
      <c r="A10" s="105" t="s">
        <v>174</v>
      </c>
      <c r="B10" s="63">
        <f>B5*B9</f>
        <v>1052980</v>
      </c>
      <c r="C10" s="63">
        <f t="shared" ref="C10:K10" si="3">C5*C9</f>
        <v>1123200</v>
      </c>
      <c r="D10" s="63">
        <f t="shared" si="3"/>
        <v>1162540</v>
      </c>
      <c r="E10" s="63">
        <f t="shared" si="3"/>
        <v>1230840</v>
      </c>
      <c r="F10" s="63">
        <f t="shared" si="3"/>
        <v>1299290</v>
      </c>
      <c r="G10" s="63">
        <f t="shared" si="3"/>
        <v>1336020</v>
      </c>
      <c r="H10" s="63">
        <f t="shared" si="3"/>
        <v>1399938.7957249533</v>
      </c>
      <c r="I10" s="63">
        <f t="shared" si="3"/>
        <v>1469582.6688899882</v>
      </c>
      <c r="J10" s="63">
        <f t="shared" si="3"/>
        <v>1539774.9310264634</v>
      </c>
      <c r="K10" s="63">
        <f t="shared" si="3"/>
        <v>1610518.9116717107</v>
      </c>
      <c r="L10" s="89" t="s">
        <v>207</v>
      </c>
      <c r="N10" s="68"/>
      <c r="O10" s="62"/>
    </row>
    <row r="11" spans="1:18" s="60" customFormat="1" ht="28.9" x14ac:dyDescent="0.3">
      <c r="A11" s="105" t="s">
        <v>175</v>
      </c>
      <c r="B11" s="63">
        <f t="shared" ref="B11:K11" si="4">MAX(B3-SUM(B6:B8,B10), B3*$N$6)</f>
        <v>1582418.5944211399</v>
      </c>
      <c r="C11" s="63">
        <f t="shared" si="4"/>
        <v>1537198.5944254501</v>
      </c>
      <c r="D11" s="63">
        <f t="shared" si="4"/>
        <v>1520858.5944233001</v>
      </c>
      <c r="E11" s="63">
        <f t="shared" si="4"/>
        <v>1468558.5944210899</v>
      </c>
      <c r="F11" s="63">
        <f t="shared" si="4"/>
        <v>1413108.5944232801</v>
      </c>
      <c r="G11" s="63">
        <f t="shared" si="4"/>
        <v>1389378.5944232801</v>
      </c>
      <c r="H11" s="63">
        <f t="shared" si="4"/>
        <v>1326697.3458779166</v>
      </c>
      <c r="I11" s="63">
        <f t="shared" si="4"/>
        <v>1271349.4876599051</v>
      </c>
      <c r="J11" s="63">
        <f t="shared" si="4"/>
        <v>1215511.9483410292</v>
      </c>
      <c r="K11" s="63">
        <f t="shared" si="4"/>
        <v>1159181.6394731062</v>
      </c>
      <c r="L11" s="89" t="s">
        <v>208</v>
      </c>
      <c r="N11" s="68"/>
      <c r="O11" s="62"/>
    </row>
    <row r="12" spans="1:18" s="60" customFormat="1" ht="43.9" x14ac:dyDescent="0.35">
      <c r="A12" s="105" t="s">
        <v>197</v>
      </c>
      <c r="B12" s="63">
        <f t="shared" ref="B12:K12" si="5">B6*$N$3+B11*$N$2</f>
        <v>688985.05601096433</v>
      </c>
      <c r="C12" s="63">
        <f t="shared" si="5"/>
        <v>669296.268012841</v>
      </c>
      <c r="D12" s="63">
        <f t="shared" si="5"/>
        <v>662181.83201190492</v>
      </c>
      <c r="E12" s="63">
        <f t="shared" si="5"/>
        <v>639410.41201094259</v>
      </c>
      <c r="F12" s="63">
        <f t="shared" si="5"/>
        <v>615267.48201189621</v>
      </c>
      <c r="G12" s="63">
        <f t="shared" si="5"/>
        <v>604935.44001189619</v>
      </c>
      <c r="H12" s="63">
        <f t="shared" si="5"/>
        <v>577644.02439524489</v>
      </c>
      <c r="I12" s="63">
        <f t="shared" si="5"/>
        <v>553545.56692712265</v>
      </c>
      <c r="J12" s="63">
        <f t="shared" si="5"/>
        <v>529233.90230768418</v>
      </c>
      <c r="K12" s="63">
        <f t="shared" si="5"/>
        <v>504707.68582659046</v>
      </c>
      <c r="L12" s="108" t="s">
        <v>209</v>
      </c>
    </row>
    <row r="13" spans="1:18" s="60" customFormat="1" ht="86.45" x14ac:dyDescent="0.3">
      <c r="A13" s="105"/>
      <c r="B13" s="146" t="s">
        <v>210</v>
      </c>
      <c r="C13" s="147"/>
      <c r="D13" s="147"/>
      <c r="E13" s="147"/>
      <c r="F13" s="147"/>
      <c r="G13" s="147"/>
      <c r="H13" s="147"/>
      <c r="I13" s="147"/>
      <c r="J13" s="148"/>
      <c r="K13" s="87">
        <v>3411.8979766522266</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6">$K$13*B14</f>
        <v>2787.5206469248687</v>
      </c>
      <c r="C15" s="88">
        <f t="shared" si="6"/>
        <v>2671.5161157186935</v>
      </c>
      <c r="D15" s="88">
        <f t="shared" si="6"/>
        <v>2555.5115845125179</v>
      </c>
      <c r="E15" s="88">
        <f t="shared" si="6"/>
        <v>2439.5070533063417</v>
      </c>
      <c r="F15" s="88">
        <f t="shared" si="6"/>
        <v>2323.5025221001665</v>
      </c>
      <c r="G15" s="88">
        <f t="shared" si="6"/>
        <v>2207.4979908939908</v>
      </c>
      <c r="H15" s="88">
        <f t="shared" si="6"/>
        <v>2094.9053576644669</v>
      </c>
      <c r="I15" s="88">
        <f t="shared" si="6"/>
        <v>1978.9008264582912</v>
      </c>
      <c r="J15" s="88">
        <f t="shared" si="6"/>
        <v>1862.8962952521158</v>
      </c>
      <c r="K15" s="88">
        <f t="shared" si="6"/>
        <v>1743.4798660692877</v>
      </c>
      <c r="L15" s="108" t="s">
        <v>211</v>
      </c>
    </row>
    <row r="16" spans="1:18" s="60" customFormat="1" ht="30" x14ac:dyDescent="0.35">
      <c r="A16" s="105" t="s">
        <v>199</v>
      </c>
      <c r="B16" s="82">
        <f>B12/B3</f>
        <v>0.20324042950175938</v>
      </c>
      <c r="C16" s="82">
        <f t="shared" ref="C16:K16" si="7">C12/C3</f>
        <v>0.1959871941472448</v>
      </c>
      <c r="D16" s="82">
        <f t="shared" si="7"/>
        <v>0.19260669924720911</v>
      </c>
      <c r="E16" s="82">
        <f t="shared" si="7"/>
        <v>0.18512171743223585</v>
      </c>
      <c r="F16" s="82">
        <f t="shared" si="7"/>
        <v>0.17746394058606754</v>
      </c>
      <c r="G16" s="82">
        <f t="shared" si="7"/>
        <v>0.17383202299192418</v>
      </c>
      <c r="H16" s="82">
        <f t="shared" si="7"/>
        <v>0.16593065442007465</v>
      </c>
      <c r="I16" s="82">
        <f t="shared" si="7"/>
        <v>0.15835796083455611</v>
      </c>
      <c r="J16" s="82">
        <f t="shared" si="7"/>
        <v>0.15078368863700059</v>
      </c>
      <c r="K16" s="82">
        <f t="shared" si="7"/>
        <v>0.14320784428360733</v>
      </c>
      <c r="L16" s="89" t="s">
        <v>212</v>
      </c>
    </row>
    <row r="17" spans="1:14" s="60" customFormat="1" ht="30.6" thickBot="1" x14ac:dyDescent="0.4">
      <c r="A17" s="105" t="s">
        <v>200</v>
      </c>
      <c r="B17" s="81">
        <f>B15*B16</f>
        <v>566.53689352603249</v>
      </c>
      <c r="C17" s="81">
        <f t="shared" ref="C17:K17" si="8">C15*C16</f>
        <v>523.58294763885294</v>
      </c>
      <c r="D17" s="81">
        <f t="shared" si="8"/>
        <v>492.20865118096134</v>
      </c>
      <c r="E17" s="81">
        <f t="shared" si="8"/>
        <v>451.6057353961229</v>
      </c>
      <c r="F17" s="81">
        <f t="shared" si="8"/>
        <v>412.33791353356202</v>
      </c>
      <c r="G17" s="81">
        <f t="shared" si="8"/>
        <v>383.73384150771068</v>
      </c>
      <c r="H17" s="81">
        <f t="shared" si="8"/>
        <v>347.60901694538558</v>
      </c>
      <c r="I17" s="81">
        <f t="shared" si="8"/>
        <v>313.37469957175279</v>
      </c>
      <c r="J17" s="81">
        <f t="shared" si="8"/>
        <v>280.89437494631693</v>
      </c>
      <c r="K17" s="81">
        <f t="shared" si="8"/>
        <v>249.67999317165513</v>
      </c>
      <c r="L17" s="89" t="s">
        <v>213</v>
      </c>
    </row>
    <row r="18" spans="1:14" ht="43.9" thickBot="1" x14ac:dyDescent="0.35">
      <c r="A18" s="128" t="s">
        <v>201</v>
      </c>
      <c r="B18" s="84">
        <f t="shared" ref="B18:K18" si="9">B12*(B14/$N$7)-B17</f>
        <v>660891.50160348683</v>
      </c>
      <c r="C18" s="84">
        <f t="shared" si="9"/>
        <v>615291.90219226072</v>
      </c>
      <c r="D18" s="84">
        <f t="shared" si="9"/>
        <v>582321.17816070712</v>
      </c>
      <c r="E18" s="84">
        <f t="shared" si="9"/>
        <v>536773.35852761671</v>
      </c>
      <c r="F18" s="84">
        <f t="shared" si="9"/>
        <v>491946.24639915902</v>
      </c>
      <c r="G18" s="84">
        <f t="shared" si="9"/>
        <v>459537.80515696097</v>
      </c>
      <c r="H18" s="84">
        <f t="shared" si="9"/>
        <v>416424.93032345455</v>
      </c>
      <c r="I18" s="84">
        <f t="shared" si="9"/>
        <v>376956.2243811934</v>
      </c>
      <c r="J18" s="84">
        <f t="shared" si="9"/>
        <v>339274.58231129998</v>
      </c>
      <c r="K18" s="84">
        <f t="shared" si="9"/>
        <v>302812.16190740146</v>
      </c>
      <c r="L18" s="93" t="s">
        <v>214</v>
      </c>
    </row>
    <row r="19" spans="1:14" ht="14.45" x14ac:dyDescent="0.3">
      <c r="A19" s="85"/>
      <c r="B19" s="85"/>
      <c r="C19" s="85"/>
      <c r="D19" s="85"/>
      <c r="E19" s="85"/>
      <c r="F19" s="85"/>
      <c r="G19" s="85"/>
      <c r="H19" s="85"/>
      <c r="I19" s="85"/>
      <c r="J19" s="85"/>
      <c r="K19" s="85"/>
    </row>
    <row r="24" spans="1:14" x14ac:dyDescent="0.25">
      <c r="N24" s="2"/>
    </row>
    <row r="25" spans="1:14" x14ac:dyDescent="0.25">
      <c r="N25" s="2"/>
    </row>
  </sheetData>
  <mergeCells count="3">
    <mergeCell ref="B1:L1"/>
    <mergeCell ref="N1:O1"/>
    <mergeCell ref="B13:J13"/>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2"/>
  <sheetViews>
    <sheetView workbookViewId="0"/>
  </sheetViews>
  <sheetFormatPr defaultRowHeight="15.75" x14ac:dyDescent="0.25"/>
  <cols>
    <col min="1" max="1" width="34.5703125" customWidth="1"/>
    <col min="2" max="11" width="11.5703125" bestFit="1" customWidth="1"/>
    <col min="12" max="12" width="49.5703125" customWidth="1"/>
    <col min="14" max="14" width="7" bestFit="1" customWidth="1"/>
    <col min="15" max="15" width="47" customWidth="1"/>
    <col min="16" max="16" width="14.28515625" customWidth="1"/>
    <col min="21" max="21" width="13.28515625" style="7" customWidth="1"/>
    <col min="22" max="22" width="12" style="7" bestFit="1" customWidth="1"/>
  </cols>
  <sheetData>
    <row r="1" spans="1:22" s="60" customFormat="1" ht="15.6" x14ac:dyDescent="0.3">
      <c r="A1" s="103" t="s">
        <v>192</v>
      </c>
      <c r="B1" s="141" t="s">
        <v>176</v>
      </c>
      <c r="C1" s="142"/>
      <c r="D1" s="142"/>
      <c r="E1" s="142"/>
      <c r="F1" s="142"/>
      <c r="G1" s="142"/>
      <c r="H1" s="142"/>
      <c r="I1" s="142"/>
      <c r="J1" s="142"/>
      <c r="K1" s="142"/>
      <c r="L1" s="143"/>
      <c r="N1" s="144" t="s">
        <v>196</v>
      </c>
      <c r="O1" s="145"/>
      <c r="P1" s="62"/>
    </row>
    <row r="2" spans="1:22"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22" s="60" customFormat="1" ht="58.15" x14ac:dyDescent="0.35">
      <c r="A3" s="105" t="s">
        <v>169</v>
      </c>
      <c r="B3" s="63">
        <f>SUMIFS('Form 1.5a'!J:J, 'Form 1.5a'!$B:$B, "SCE Service Area*")*1000</f>
        <v>93383000.000000015</v>
      </c>
      <c r="C3" s="63">
        <f>SUMIFS('Form 1.5a'!K:K, 'Form 1.5a'!$B:$B, "SCE Service Area*")*1000</f>
        <v>93970000</v>
      </c>
      <c r="D3" s="63">
        <f>SUMIFS('Form 1.5a'!L:L, 'Form 1.5a'!$B:$B, "SCE Service Area*")*1000</f>
        <v>94281000</v>
      </c>
      <c r="E3" s="63">
        <f>SUMIFS('Form 1.5a'!M:M, 'Form 1.5a'!$B:$B, "SCE Service Area*")*1000</f>
        <v>94490000.000000015</v>
      </c>
      <c r="F3" s="63">
        <f>SUMIFS('Form 1.5a'!N:N, 'Form 1.5a'!$B:$B, "SCE Service Area*")*1000</f>
        <v>94818000.000000015</v>
      </c>
      <c r="G3" s="63">
        <f>SUMIFS('Form 1.5a'!O:O, 'Form 1.5a'!$B:$B, "SCE Service Area*")*1000</f>
        <v>94901999.999999985</v>
      </c>
      <c r="H3" s="67">
        <f>AVERAGE(E3:G3)*(1+$N$9)</f>
        <v>94885853.577128187</v>
      </c>
      <c r="I3" s="67">
        <f t="shared" ref="I3:K4" si="0">H3*(1+$N$9)</f>
        <v>95035275.420219645</v>
      </c>
      <c r="J3" s="67">
        <f t="shared" si="0"/>
        <v>95184932.565902084</v>
      </c>
      <c r="K3" s="67">
        <f t="shared" si="0"/>
        <v>95334825.384719089</v>
      </c>
      <c r="L3" s="89" t="s">
        <v>218</v>
      </c>
      <c r="N3" s="64">
        <v>0.91839999999999999</v>
      </c>
      <c r="O3" s="9" t="s">
        <v>203</v>
      </c>
    </row>
    <row r="4" spans="1:22" s="60" customFormat="1" ht="57.6" x14ac:dyDescent="0.3">
      <c r="A4" s="105" t="s">
        <v>170</v>
      </c>
      <c r="B4" s="63">
        <f>SUMIFS('Form 1.1c'!J:J, 'Form 1.1c'!$B:$B, "Southern California Edison*")*1000</f>
        <v>87450000</v>
      </c>
      <c r="C4" s="63">
        <f>SUMIFS('Form 1.1c'!K:K, 'Form 1.1c'!$B:$B, "Southern California Edison*")*1000</f>
        <v>88003000</v>
      </c>
      <c r="D4" s="63">
        <f>SUMIFS('Form 1.1c'!L:L, 'Form 1.1c'!$B:$B, "Southern California Edison*")*1000</f>
        <v>88301000</v>
      </c>
      <c r="E4" s="63">
        <f>SUMIFS('Form 1.1c'!M:M, 'Form 1.1c'!$B:$B, "Southern California Edison*")*1000</f>
        <v>88501000</v>
      </c>
      <c r="F4" s="63">
        <f>SUMIFS('Form 1.1c'!N:N, 'Form 1.1c'!$B:$B, "Southern California Edison*")*1000</f>
        <v>88815000</v>
      </c>
      <c r="G4" s="63">
        <f>SUMIFS('Form 1.1c'!O:O, 'Form 1.1c'!$B:$B, "Southern California Edison*")*1000</f>
        <v>88897000</v>
      </c>
      <c r="H4" s="67">
        <f>AVERAGE(E4:G4)*(1+$N$9)</f>
        <v>88877406.630055323</v>
      </c>
      <c r="I4" s="63">
        <f t="shared" si="0"/>
        <v>89017366.64945966</v>
      </c>
      <c r="J4" s="63">
        <f t="shared" si="0"/>
        <v>89157547.071413696</v>
      </c>
      <c r="K4" s="63">
        <f t="shared" si="0"/>
        <v>89297948.242997155</v>
      </c>
      <c r="L4" s="89" t="s">
        <v>222</v>
      </c>
      <c r="N4" s="70">
        <f>0.15</f>
        <v>0.15</v>
      </c>
      <c r="O4" s="89" t="s">
        <v>166</v>
      </c>
    </row>
    <row r="5" spans="1:22" s="60" customFormat="1" ht="28.9" x14ac:dyDescent="0.3">
      <c r="A5" s="105" t="s">
        <v>194</v>
      </c>
      <c r="B5" s="63">
        <f t="shared" ref="B5:K5" si="1">IF(AND(0&lt;(B3-B4)/B3,(B3-B4)/B3&lt;$N$4),B4,B3*(1-$N$5))</f>
        <v>87450000</v>
      </c>
      <c r="C5" s="63">
        <f t="shared" si="1"/>
        <v>88003000</v>
      </c>
      <c r="D5" s="63">
        <f t="shared" si="1"/>
        <v>88301000</v>
      </c>
      <c r="E5" s="63">
        <f t="shared" si="1"/>
        <v>88501000</v>
      </c>
      <c r="F5" s="63">
        <f t="shared" si="1"/>
        <v>88815000</v>
      </c>
      <c r="G5" s="63">
        <f t="shared" si="1"/>
        <v>88897000</v>
      </c>
      <c r="H5" s="63">
        <f t="shared" si="1"/>
        <v>88877406.630055323</v>
      </c>
      <c r="I5" s="63">
        <f t="shared" si="1"/>
        <v>89017366.64945966</v>
      </c>
      <c r="J5" s="63">
        <f t="shared" si="1"/>
        <v>89157547.071413696</v>
      </c>
      <c r="K5" s="63">
        <f t="shared" si="1"/>
        <v>89297948.242997155</v>
      </c>
      <c r="L5" s="89" t="s">
        <v>223</v>
      </c>
      <c r="N5" s="70">
        <f>0.07</f>
        <v>7.0000000000000007E-2</v>
      </c>
      <c r="O5" s="89" t="s">
        <v>220</v>
      </c>
    </row>
    <row r="6" spans="1:22" s="60" customFormat="1" ht="14.45" x14ac:dyDescent="0.3">
      <c r="A6" s="105" t="s">
        <v>171</v>
      </c>
      <c r="B6" s="63">
        <v>0</v>
      </c>
      <c r="C6" s="63">
        <v>0</v>
      </c>
      <c r="D6" s="63">
        <v>0</v>
      </c>
      <c r="E6" s="63">
        <v>0</v>
      </c>
      <c r="F6" s="63">
        <v>0</v>
      </c>
      <c r="G6" s="63">
        <v>0</v>
      </c>
      <c r="H6" s="63">
        <v>0</v>
      </c>
      <c r="I6" s="63">
        <v>0</v>
      </c>
      <c r="J6" s="63">
        <v>0</v>
      </c>
      <c r="K6" s="63">
        <v>0</v>
      </c>
      <c r="L6" s="119" t="s">
        <v>242</v>
      </c>
      <c r="N6" s="65">
        <v>0.05</v>
      </c>
      <c r="O6" s="89" t="s">
        <v>204</v>
      </c>
    </row>
    <row r="7" spans="1:22" s="60" customFormat="1" ht="28.9" x14ac:dyDescent="0.3">
      <c r="A7" s="105" t="s">
        <v>172</v>
      </c>
      <c r="B7" s="63">
        <v>5036614.5</v>
      </c>
      <c r="C7" s="63">
        <f>B7</f>
        <v>5036614.5</v>
      </c>
      <c r="D7" s="63">
        <f t="shared" ref="D7:K7" si="2">C7</f>
        <v>5036614.5</v>
      </c>
      <c r="E7" s="63">
        <f t="shared" si="2"/>
        <v>5036614.5</v>
      </c>
      <c r="F7" s="63">
        <f t="shared" si="2"/>
        <v>5036614.5</v>
      </c>
      <c r="G7" s="63">
        <f t="shared" si="2"/>
        <v>5036614.5</v>
      </c>
      <c r="H7" s="63">
        <f t="shared" si="2"/>
        <v>5036614.5</v>
      </c>
      <c r="I7" s="63">
        <f t="shared" si="2"/>
        <v>5036614.5</v>
      </c>
      <c r="J7" s="63">
        <f t="shared" si="2"/>
        <v>5036614.5</v>
      </c>
      <c r="K7" s="63">
        <f t="shared" si="2"/>
        <v>5036614.5</v>
      </c>
      <c r="L7" s="89" t="s">
        <v>253</v>
      </c>
      <c r="N7" s="86">
        <v>0.85099999999999998</v>
      </c>
      <c r="O7" s="89" t="s">
        <v>168</v>
      </c>
    </row>
    <row r="8" spans="1:22" s="60" customFormat="1" ht="14.45" x14ac:dyDescent="0.3">
      <c r="A8" s="105" t="s">
        <v>173</v>
      </c>
      <c r="B8" s="63">
        <v>1690000</v>
      </c>
      <c r="C8" s="63">
        <f>B8</f>
        <v>1690000</v>
      </c>
      <c r="D8" s="63">
        <f t="shared" ref="D8:K8" si="3">C8</f>
        <v>1690000</v>
      </c>
      <c r="E8" s="63">
        <f t="shared" si="3"/>
        <v>1690000</v>
      </c>
      <c r="F8" s="63">
        <f t="shared" si="3"/>
        <v>1690000</v>
      </c>
      <c r="G8" s="63">
        <f t="shared" si="3"/>
        <v>1690000</v>
      </c>
      <c r="H8" s="63">
        <f t="shared" si="3"/>
        <v>1690000</v>
      </c>
      <c r="I8" s="63">
        <f t="shared" si="3"/>
        <v>1690000</v>
      </c>
      <c r="J8" s="63">
        <f t="shared" si="3"/>
        <v>1690000</v>
      </c>
      <c r="K8" s="63">
        <f t="shared" si="3"/>
        <v>1690000</v>
      </c>
      <c r="L8" s="89" t="s">
        <v>254</v>
      </c>
      <c r="O8" s="107"/>
    </row>
    <row r="9" spans="1:22" s="60" customFormat="1" ht="28.9" x14ac:dyDescent="0.3">
      <c r="A9" s="105" t="s">
        <v>153</v>
      </c>
      <c r="B9" s="59">
        <v>0.34</v>
      </c>
      <c r="C9" s="59">
        <v>0.36</v>
      </c>
      <c r="D9" s="59">
        <v>0.37</v>
      </c>
      <c r="E9" s="59">
        <v>0.39</v>
      </c>
      <c r="F9" s="59">
        <v>0.41</v>
      </c>
      <c r="G9" s="59">
        <v>0.42</v>
      </c>
      <c r="H9" s="59">
        <v>0.44</v>
      </c>
      <c r="I9" s="59">
        <v>0.46</v>
      </c>
      <c r="J9" s="59">
        <v>0.48</v>
      </c>
      <c r="K9" s="59">
        <v>0.5</v>
      </c>
      <c r="L9" s="89" t="s">
        <v>248</v>
      </c>
      <c r="N9" s="66">
        <v>1.574753637748652E-3</v>
      </c>
      <c r="O9" s="89" t="s">
        <v>205</v>
      </c>
    </row>
    <row r="10" spans="1:22" s="60" customFormat="1" ht="14.45" x14ac:dyDescent="0.3">
      <c r="A10" s="105" t="s">
        <v>174</v>
      </c>
      <c r="B10" s="63">
        <f>B5*B9</f>
        <v>29733000.000000004</v>
      </c>
      <c r="C10" s="63">
        <f t="shared" ref="C10:G10" si="4">C5*C9</f>
        <v>31681080</v>
      </c>
      <c r="D10" s="63">
        <f t="shared" si="4"/>
        <v>32671370</v>
      </c>
      <c r="E10" s="63">
        <f t="shared" si="4"/>
        <v>34515390</v>
      </c>
      <c r="F10" s="63">
        <f t="shared" si="4"/>
        <v>36414150</v>
      </c>
      <c r="G10" s="63">
        <f t="shared" si="4"/>
        <v>37336740</v>
      </c>
      <c r="H10" s="63">
        <f t="shared" ref="H10" si="5">H5*H9</f>
        <v>39106058.91722434</v>
      </c>
      <c r="I10" s="63">
        <f t="shared" ref="I10" si="6">I5*I9</f>
        <v>40947988.658751443</v>
      </c>
      <c r="J10" s="63">
        <f t="shared" ref="J10" si="7">J5*J9</f>
        <v>42795622.594278574</v>
      </c>
      <c r="K10" s="63">
        <f t="shared" ref="K10" si="8">K5*K9</f>
        <v>44648974.121498577</v>
      </c>
      <c r="L10" s="89" t="s">
        <v>207</v>
      </c>
    </row>
    <row r="11" spans="1:22" s="60" customFormat="1" ht="28.9" x14ac:dyDescent="0.3">
      <c r="A11" s="105" t="s">
        <v>175</v>
      </c>
      <c r="B11" s="63">
        <f t="shared" ref="B11:K11" si="9">MAX(B3-SUM(B6:B8,B10), B3*$N$6)</f>
        <v>56923385.500000015</v>
      </c>
      <c r="C11" s="63">
        <f t="shared" si="9"/>
        <v>55562305.5</v>
      </c>
      <c r="D11" s="63">
        <f t="shared" si="9"/>
        <v>54883015.5</v>
      </c>
      <c r="E11" s="63">
        <f t="shared" si="9"/>
        <v>53247995.500000015</v>
      </c>
      <c r="F11" s="63">
        <f t="shared" si="9"/>
        <v>51677235.500000015</v>
      </c>
      <c r="G11" s="63">
        <f t="shared" si="9"/>
        <v>50838645.499999985</v>
      </c>
      <c r="H11" s="63">
        <f t="shared" si="9"/>
        <v>49053180.159903847</v>
      </c>
      <c r="I11" s="63">
        <f t="shared" si="9"/>
        <v>47360672.261468202</v>
      </c>
      <c r="J11" s="63">
        <f t="shared" si="9"/>
        <v>45662695.47162351</v>
      </c>
      <c r="K11" s="63">
        <f t="shared" si="9"/>
        <v>43959236.763220511</v>
      </c>
      <c r="L11" s="89" t="s">
        <v>208</v>
      </c>
    </row>
    <row r="12" spans="1:22" s="60" customFormat="1" ht="43.9" x14ac:dyDescent="0.35">
      <c r="A12" s="105" t="s">
        <v>197</v>
      </c>
      <c r="B12" s="63">
        <f t="shared" ref="B12:K12" si="10">B6*$N$3+B11*$N$2</f>
        <v>24784442.046700008</v>
      </c>
      <c r="C12" s="63">
        <f t="shared" si="10"/>
        <v>24191827.8147</v>
      </c>
      <c r="D12" s="63">
        <f t="shared" si="10"/>
        <v>23896064.9487</v>
      </c>
      <c r="E12" s="63">
        <f t="shared" si="10"/>
        <v>23184177.240700006</v>
      </c>
      <c r="F12" s="63">
        <f t="shared" si="10"/>
        <v>22500268.336700007</v>
      </c>
      <c r="G12" s="63">
        <f t="shared" si="10"/>
        <v>22135146.250699993</v>
      </c>
      <c r="H12" s="63">
        <f t="shared" si="10"/>
        <v>21357754.641622134</v>
      </c>
      <c r="I12" s="63">
        <f t="shared" si="10"/>
        <v>20620836.702643257</v>
      </c>
      <c r="J12" s="63">
        <f t="shared" si="10"/>
        <v>19881537.608344875</v>
      </c>
      <c r="K12" s="63">
        <f t="shared" si="10"/>
        <v>19139851.686706211</v>
      </c>
      <c r="L12" s="108" t="s">
        <v>209</v>
      </c>
    </row>
    <row r="13" spans="1:22" s="60" customFormat="1" ht="86.45" x14ac:dyDescent="0.3">
      <c r="A13" s="105"/>
      <c r="B13" s="146" t="s">
        <v>210</v>
      </c>
      <c r="C13" s="147"/>
      <c r="D13" s="147"/>
      <c r="E13" s="147"/>
      <c r="F13" s="147"/>
      <c r="G13" s="147"/>
      <c r="H13" s="147"/>
      <c r="I13" s="147"/>
      <c r="J13" s="148"/>
      <c r="K13" s="87">
        <v>4328023.0994244339</v>
      </c>
      <c r="L13" s="108" t="s">
        <v>216</v>
      </c>
    </row>
    <row r="14" spans="1:22"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c r="U14"/>
      <c r="V14"/>
    </row>
    <row r="15" spans="1:22" s="60" customFormat="1" ht="28.9" x14ac:dyDescent="0.3">
      <c r="A15" s="105" t="s">
        <v>198</v>
      </c>
      <c r="B15" s="88">
        <f t="shared" ref="B15:K15" si="11">$K$13*B14</f>
        <v>3535994.8722297624</v>
      </c>
      <c r="C15" s="88">
        <f t="shared" si="11"/>
        <v>3388842.0868493319</v>
      </c>
      <c r="D15" s="88">
        <f t="shared" si="11"/>
        <v>3241689.3014689009</v>
      </c>
      <c r="E15" s="88">
        <f t="shared" si="11"/>
        <v>3094536.5160884699</v>
      </c>
      <c r="F15" s="88">
        <f t="shared" si="11"/>
        <v>2947383.7307080398</v>
      </c>
      <c r="G15" s="88">
        <f t="shared" si="11"/>
        <v>2800230.9453276088</v>
      </c>
      <c r="H15" s="88">
        <f t="shared" si="11"/>
        <v>2657406.1830466022</v>
      </c>
      <c r="I15" s="88">
        <f t="shared" si="11"/>
        <v>2510253.3976661717</v>
      </c>
      <c r="J15" s="88">
        <f t="shared" si="11"/>
        <v>2363100.6122857411</v>
      </c>
      <c r="K15" s="88">
        <f t="shared" si="11"/>
        <v>2211619.8038058858</v>
      </c>
      <c r="L15" s="108" t="s">
        <v>211</v>
      </c>
    </row>
    <row r="16" spans="1:22" s="60" customFormat="1" ht="30" x14ac:dyDescent="0.35">
      <c r="A16" s="105" t="s">
        <v>199</v>
      </c>
      <c r="B16" s="82">
        <f>B12/B3</f>
        <v>0.26540635925917999</v>
      </c>
      <c r="C16" s="82">
        <f t="shared" ref="C16:K16" si="12">C12/C3</f>
        <v>0.25744203272001703</v>
      </c>
      <c r="D16" s="82">
        <f t="shared" si="12"/>
        <v>0.25345578588156681</v>
      </c>
      <c r="E16" s="82">
        <f t="shared" si="12"/>
        <v>0.24536117304159175</v>
      </c>
      <c r="F16" s="82">
        <f t="shared" si="12"/>
        <v>0.23729954583201507</v>
      </c>
      <c r="G16" s="82">
        <f t="shared" si="12"/>
        <v>0.23324214716971187</v>
      </c>
      <c r="H16" s="82">
        <f t="shared" si="12"/>
        <v>0.22508892354813917</v>
      </c>
      <c r="I16" s="82">
        <f t="shared" si="12"/>
        <v>0.21698086959251323</v>
      </c>
      <c r="J16" s="82">
        <f t="shared" si="12"/>
        <v>0.20887273933381972</v>
      </c>
      <c r="K16" s="82">
        <f t="shared" si="12"/>
        <v>0.20076453289202831</v>
      </c>
      <c r="L16" s="89" t="s">
        <v>212</v>
      </c>
    </row>
    <row r="17" spans="1:22" s="60" customFormat="1" ht="30.6" thickBot="1" x14ac:dyDescent="0.4">
      <c r="A17" s="105" t="s">
        <v>200</v>
      </c>
      <c r="B17" s="81">
        <f>B15*B16</f>
        <v>938475.52539763052</v>
      </c>
      <c r="C17" s="81">
        <f t="shared" ref="C17:K17" si="13">C15*C16</f>
        <v>872430.39540563652</v>
      </c>
      <c r="D17" s="81">
        <f t="shared" si="13"/>
        <v>821624.90948766761</v>
      </c>
      <c r="E17" s="81">
        <f t="shared" si="13"/>
        <v>759279.10960750747</v>
      </c>
      <c r="F17" s="81">
        <f t="shared" si="13"/>
        <v>699412.82068968809</v>
      </c>
      <c r="G17" s="81">
        <f t="shared" si="13"/>
        <v>653131.87825928349</v>
      </c>
      <c r="H17" s="81">
        <f t="shared" si="13"/>
        <v>598152.69717212894</v>
      </c>
      <c r="I17" s="81">
        <f t="shared" si="13"/>
        <v>544676.9651231668</v>
      </c>
      <c r="J17" s="81">
        <f t="shared" si="13"/>
        <v>493587.29820954939</v>
      </c>
      <c r="K17" s="81">
        <f t="shared" si="13"/>
        <v>444014.81684584793</v>
      </c>
      <c r="L17" s="89" t="s">
        <v>213</v>
      </c>
    </row>
    <row r="18" spans="1:22" ht="43.9" thickBot="1" x14ac:dyDescent="0.35">
      <c r="A18" s="128" t="s">
        <v>201</v>
      </c>
      <c r="B18" s="84">
        <f t="shared" ref="B18:K18" si="14">B12*(B14/$N$7)-B17</f>
        <v>22855753.795582283</v>
      </c>
      <c r="C18" s="84">
        <f t="shared" si="14"/>
        <v>21386325.396498125</v>
      </c>
      <c r="D18" s="84">
        <f t="shared" si="14"/>
        <v>20210281.843245938</v>
      </c>
      <c r="E18" s="84">
        <f t="shared" si="14"/>
        <v>18719788.724823169</v>
      </c>
      <c r="F18" s="84">
        <f t="shared" si="14"/>
        <v>17306089.808326419</v>
      </c>
      <c r="G18" s="84">
        <f t="shared" si="14"/>
        <v>16175821.851708867</v>
      </c>
      <c r="H18" s="84">
        <f t="shared" si="14"/>
        <v>14811555.117112229</v>
      </c>
      <c r="I18" s="84">
        <f t="shared" si="14"/>
        <v>13509477.309298793</v>
      </c>
      <c r="J18" s="84">
        <f t="shared" si="14"/>
        <v>12262369.851210313</v>
      </c>
      <c r="K18" s="84">
        <f t="shared" si="14"/>
        <v>11048892.600201009</v>
      </c>
      <c r="L18" s="93" t="s">
        <v>214</v>
      </c>
      <c r="N18" s="60"/>
      <c r="O18" s="60"/>
      <c r="P18" s="60"/>
      <c r="Q18" s="60"/>
      <c r="R18" s="60"/>
      <c r="U18"/>
      <c r="V18"/>
    </row>
    <row r="19" spans="1:22" ht="14.45" x14ac:dyDescent="0.3">
      <c r="A19" s="85"/>
      <c r="B19" s="85"/>
      <c r="C19" s="85"/>
      <c r="D19" s="85"/>
      <c r="E19" s="85"/>
      <c r="F19" s="85"/>
      <c r="G19" s="85"/>
      <c r="H19" s="85"/>
      <c r="I19" s="85"/>
      <c r="J19" s="85"/>
      <c r="K19" s="85"/>
      <c r="U19"/>
      <c r="V19"/>
    </row>
    <row r="161" spans="21:22" x14ac:dyDescent="0.25">
      <c r="U161" s="8"/>
      <c r="V161" s="8"/>
    </row>
    <row r="162" spans="21:22" x14ac:dyDescent="0.25">
      <c r="U162" s="8"/>
      <c r="V162" s="8"/>
    </row>
  </sheetData>
  <mergeCells count="3">
    <mergeCell ref="B1:L1"/>
    <mergeCell ref="N1:O1"/>
    <mergeCell ref="B13:J13"/>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36.85546875" customWidth="1"/>
    <col min="2" max="11" width="8" bestFit="1" customWidth="1"/>
    <col min="12" max="12" width="54.140625" style="3" customWidth="1"/>
    <col min="14" max="14" width="7" bestFit="1" customWidth="1"/>
    <col min="15" max="15" width="40.85546875" bestFit="1" customWidth="1"/>
  </cols>
  <sheetData>
    <row r="1" spans="1:18" s="60" customFormat="1" ht="15.6" x14ac:dyDescent="0.3">
      <c r="A1" s="103" t="s">
        <v>193</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v>22130.801719110405</v>
      </c>
      <c r="C3" s="67">
        <f t="shared" ref="C3:G3" si="0">B3*(1+$N$9)</f>
        <v>22226.420354270649</v>
      </c>
      <c r="D3" s="67">
        <f t="shared" si="0"/>
        <v>22322.452120572998</v>
      </c>
      <c r="E3" s="67">
        <f t="shared" si="0"/>
        <v>22418.898802997337</v>
      </c>
      <c r="F3" s="67">
        <f t="shared" si="0"/>
        <v>22515.762194235765</v>
      </c>
      <c r="G3" s="67">
        <f t="shared" si="0"/>
        <v>22613.044094725901</v>
      </c>
      <c r="H3" s="67">
        <f t="shared" ref="H3:K4" si="1">G3*(1+$N$9)</f>
        <v>22710.746312684369</v>
      </c>
      <c r="I3" s="67">
        <f t="shared" si="1"/>
        <v>22808.870664140388</v>
      </c>
      <c r="J3" s="67">
        <f t="shared" si="1"/>
        <v>22907.418972969539</v>
      </c>
      <c r="K3" s="67">
        <f t="shared" si="1"/>
        <v>23006.393070927672</v>
      </c>
      <c r="L3" s="89" t="s">
        <v>219</v>
      </c>
      <c r="N3" s="64">
        <v>0.91839999999999999</v>
      </c>
      <c r="O3" s="9" t="s">
        <v>203</v>
      </c>
    </row>
    <row r="4" spans="1:18" s="60" customFormat="1" ht="57.6" x14ac:dyDescent="0.3">
      <c r="A4" s="105" t="s">
        <v>170</v>
      </c>
      <c r="B4" s="63">
        <f>SUMIFS('Form 1.1c'!J:J,'Form 1.1c'!$B:$B,"Port of Stockton")*1000</f>
        <v>20000</v>
      </c>
      <c r="C4" s="63">
        <f>SUMIFS('Form 1.1c'!K:K,'Form 1.1c'!$B:$B,"Port of Stockton")*1000</f>
        <v>20000</v>
      </c>
      <c r="D4" s="63">
        <f>SUMIFS('Form 1.1c'!L:L,'Form 1.1c'!$B:$B,"Port of Stockton")*1000</f>
        <v>20000</v>
      </c>
      <c r="E4" s="63">
        <f>SUMIFS('Form 1.1c'!M:M,'Form 1.1c'!$B:$B,"Port of Stockton")*1000</f>
        <v>20000</v>
      </c>
      <c r="F4" s="63">
        <f>SUMIFS('Form 1.1c'!N:N,'Form 1.1c'!$B:$B,"Port of Stockton")*1000</f>
        <v>20000</v>
      </c>
      <c r="G4" s="63">
        <f>SUMIFS('Form 1.1c'!O:O,'Form 1.1c'!$B:$B,"Port of Stockton")*1000</f>
        <v>21000</v>
      </c>
      <c r="H4" s="67">
        <f>AVERAGE(E4:G4)*(1+$N$9)</f>
        <v>20421.185802767945</v>
      </c>
      <c r="I4" s="63">
        <f t="shared" si="1"/>
        <v>20509.417848746121</v>
      </c>
      <c r="J4" s="63">
        <f t="shared" si="1"/>
        <v>20598.031111271303</v>
      </c>
      <c r="K4" s="63">
        <f t="shared" si="1"/>
        <v>20687.027237432754</v>
      </c>
      <c r="L4" s="89" t="s">
        <v>222</v>
      </c>
      <c r="N4" s="70">
        <f>0.15</f>
        <v>0.15</v>
      </c>
      <c r="O4" s="89" t="s">
        <v>166</v>
      </c>
    </row>
    <row r="5" spans="1:18" s="60" customFormat="1" ht="28.9" x14ac:dyDescent="0.3">
      <c r="A5" s="105" t="s">
        <v>194</v>
      </c>
      <c r="B5" s="63">
        <f>IF(AND(0&lt;(B3-B4)/B3,(B3-B4)/B3&lt;$N$4),B4,B3*(1-$N$5))</f>
        <v>20000</v>
      </c>
      <c r="C5" s="63">
        <f t="shared" ref="C5:K5" si="2">IF(AND(0&lt;(C3-C4)/C3,(C3-C4)/C3&lt;$N$4),C4,C3*(1-$N$5))</f>
        <v>20000</v>
      </c>
      <c r="D5" s="63">
        <f t="shared" si="2"/>
        <v>20000</v>
      </c>
      <c r="E5" s="63">
        <f t="shared" si="2"/>
        <v>20000</v>
      </c>
      <c r="F5" s="63">
        <f t="shared" si="2"/>
        <v>20000</v>
      </c>
      <c r="G5" s="63">
        <f t="shared" si="2"/>
        <v>21000</v>
      </c>
      <c r="H5" s="63">
        <f t="shared" si="2"/>
        <v>20421.185802767945</v>
      </c>
      <c r="I5" s="63">
        <f t="shared" si="2"/>
        <v>20509.417848746121</v>
      </c>
      <c r="J5" s="63">
        <f t="shared" si="2"/>
        <v>20598.031111271303</v>
      </c>
      <c r="K5" s="63">
        <f t="shared" si="2"/>
        <v>20687.027237432754</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14.45" x14ac:dyDescent="0.3">
      <c r="A8" s="105" t="s">
        <v>173</v>
      </c>
      <c r="B8" s="63">
        <v>179.00000000000003</v>
      </c>
      <c r="C8" s="67">
        <f>B8</f>
        <v>179.00000000000003</v>
      </c>
      <c r="D8" s="67">
        <f t="shared" ref="D8:K8" si="3">C8</f>
        <v>179.00000000000003</v>
      </c>
      <c r="E8" s="67">
        <f t="shared" si="3"/>
        <v>179.00000000000003</v>
      </c>
      <c r="F8" s="67">
        <f t="shared" si="3"/>
        <v>179.00000000000003</v>
      </c>
      <c r="G8" s="67">
        <f t="shared" si="3"/>
        <v>179.00000000000003</v>
      </c>
      <c r="H8" s="67">
        <f t="shared" si="3"/>
        <v>179.00000000000003</v>
      </c>
      <c r="I8" s="67">
        <f t="shared" si="3"/>
        <v>179.00000000000003</v>
      </c>
      <c r="J8" s="67">
        <f t="shared" si="3"/>
        <v>179.00000000000003</v>
      </c>
      <c r="K8" s="67">
        <f t="shared" si="3"/>
        <v>179.00000000000003</v>
      </c>
      <c r="L8" s="89" t="s">
        <v>258</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4.3206132508826212E-3</v>
      </c>
      <c r="O9" s="89" t="s">
        <v>206</v>
      </c>
    </row>
    <row r="10" spans="1:18" s="60" customFormat="1" ht="15.6" x14ac:dyDescent="0.3">
      <c r="A10" s="105" t="s">
        <v>174</v>
      </c>
      <c r="B10" s="63">
        <f>B5*B9</f>
        <v>6800.0000000000009</v>
      </c>
      <c r="C10" s="63">
        <f t="shared" ref="C10:K10" si="4">C5*C9</f>
        <v>7200</v>
      </c>
      <c r="D10" s="63">
        <f t="shared" si="4"/>
        <v>7400</v>
      </c>
      <c r="E10" s="63">
        <f t="shared" si="4"/>
        <v>7800</v>
      </c>
      <c r="F10" s="63">
        <f t="shared" si="4"/>
        <v>8200</v>
      </c>
      <c r="G10" s="63">
        <f t="shared" si="4"/>
        <v>8820</v>
      </c>
      <c r="H10" s="63">
        <f t="shared" si="4"/>
        <v>8985.3217532178951</v>
      </c>
      <c r="I10" s="63">
        <f t="shared" si="4"/>
        <v>9434.3322104232157</v>
      </c>
      <c r="J10" s="63">
        <f t="shared" si="4"/>
        <v>9887.0549334102252</v>
      </c>
      <c r="K10" s="63">
        <f t="shared" si="4"/>
        <v>10343.513618716377</v>
      </c>
      <c r="L10" s="89" t="s">
        <v>207</v>
      </c>
      <c r="N10" s="68"/>
      <c r="O10" s="62"/>
    </row>
    <row r="11" spans="1:18" s="60" customFormat="1" ht="28.9" x14ac:dyDescent="0.3">
      <c r="A11" s="105" t="s">
        <v>175</v>
      </c>
      <c r="B11" s="63">
        <f t="shared" ref="B11:K11" si="5">MAX(B3-SUM(B6:B8,B10), B3*$N$6)</f>
        <v>15151.801719110405</v>
      </c>
      <c r="C11" s="63">
        <f t="shared" si="5"/>
        <v>14847.420354270649</v>
      </c>
      <c r="D11" s="63">
        <f t="shared" si="5"/>
        <v>14743.452120572998</v>
      </c>
      <c r="E11" s="63">
        <f t="shared" si="5"/>
        <v>14439.898802997337</v>
      </c>
      <c r="F11" s="63">
        <f t="shared" si="5"/>
        <v>14136.762194235765</v>
      </c>
      <c r="G11" s="63">
        <f t="shared" si="5"/>
        <v>13614.044094725901</v>
      </c>
      <c r="H11" s="63">
        <f t="shared" si="5"/>
        <v>13546.424559466474</v>
      </c>
      <c r="I11" s="63">
        <f t="shared" si="5"/>
        <v>13195.538453717172</v>
      </c>
      <c r="J11" s="63">
        <f t="shared" si="5"/>
        <v>12841.364039559314</v>
      </c>
      <c r="K11" s="63">
        <f t="shared" si="5"/>
        <v>12483.879452211295</v>
      </c>
      <c r="L11" s="89" t="s">
        <v>208</v>
      </c>
      <c r="N11" s="68"/>
      <c r="O11" s="62"/>
    </row>
    <row r="12" spans="1:18" s="60" customFormat="1" ht="43.9" x14ac:dyDescent="0.35">
      <c r="A12" s="105" t="s">
        <v>197</v>
      </c>
      <c r="B12" s="63">
        <f t="shared" ref="B12:K12" si="6">B6*$N$3+B11*$N$2</f>
        <v>6597.0944685006707</v>
      </c>
      <c r="C12" s="63">
        <f t="shared" si="6"/>
        <v>6464.5668222494405</v>
      </c>
      <c r="D12" s="63">
        <f t="shared" si="6"/>
        <v>6419.2990532974836</v>
      </c>
      <c r="E12" s="63">
        <f t="shared" si="6"/>
        <v>6287.1319388250404</v>
      </c>
      <c r="F12" s="63">
        <f t="shared" si="6"/>
        <v>6155.1462593702527</v>
      </c>
      <c r="G12" s="63">
        <f t="shared" si="6"/>
        <v>5927.5547988436574</v>
      </c>
      <c r="H12" s="63">
        <f t="shared" si="6"/>
        <v>5898.1132531917028</v>
      </c>
      <c r="I12" s="63">
        <f t="shared" si="6"/>
        <v>5745.3374427484569</v>
      </c>
      <c r="J12" s="63">
        <f t="shared" si="6"/>
        <v>5591.1299028241256</v>
      </c>
      <c r="K12" s="63">
        <f t="shared" si="6"/>
        <v>5435.4811134927977</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7">$K$13*B14</f>
        <v>0</v>
      </c>
      <c r="C15" s="88">
        <f t="shared" si="7"/>
        <v>0</v>
      </c>
      <c r="D15" s="88">
        <f t="shared" si="7"/>
        <v>0</v>
      </c>
      <c r="E15" s="88">
        <f t="shared" si="7"/>
        <v>0</v>
      </c>
      <c r="F15" s="88">
        <f t="shared" si="7"/>
        <v>0</v>
      </c>
      <c r="G15" s="88">
        <f t="shared" si="7"/>
        <v>0</v>
      </c>
      <c r="H15" s="88">
        <f t="shared" si="7"/>
        <v>0</v>
      </c>
      <c r="I15" s="88">
        <f t="shared" si="7"/>
        <v>0</v>
      </c>
      <c r="J15" s="88">
        <f t="shared" si="7"/>
        <v>0</v>
      </c>
      <c r="K15" s="88">
        <f t="shared" si="7"/>
        <v>0</v>
      </c>
      <c r="L15" s="108" t="s">
        <v>211</v>
      </c>
    </row>
    <row r="16" spans="1:18" s="60" customFormat="1" ht="30" x14ac:dyDescent="0.35">
      <c r="A16" s="105" t="s">
        <v>199</v>
      </c>
      <c r="B16" s="82">
        <f t="shared" ref="B16:K16" si="8">B12/B3</f>
        <v>0.2980955932926706</v>
      </c>
      <c r="C16" s="82">
        <f t="shared" si="8"/>
        <v>0.29085056069351806</v>
      </c>
      <c r="D16" s="82">
        <f t="shared" si="8"/>
        <v>0.28757141100019551</v>
      </c>
      <c r="E16" s="82">
        <f t="shared" si="8"/>
        <v>0.28043892762406647</v>
      </c>
      <c r="F16" s="82">
        <f t="shared" si="8"/>
        <v>0.27337054843055791</v>
      </c>
      <c r="G16" s="82">
        <f t="shared" si="8"/>
        <v>0.26212989166841788</v>
      </c>
      <c r="H16" s="82">
        <f t="shared" si="8"/>
        <v>0.259705831415038</v>
      </c>
      <c r="I16" s="82">
        <f t="shared" si="8"/>
        <v>0.25189048275770848</v>
      </c>
      <c r="J16" s="82">
        <f t="shared" si="8"/>
        <v>0.24407507058833591</v>
      </c>
      <c r="K16" s="82">
        <f t="shared" si="8"/>
        <v>0.23625959518015077</v>
      </c>
      <c r="L16" s="89" t="s">
        <v>212</v>
      </c>
    </row>
    <row r="17" spans="1:18" s="60" customFormat="1" ht="30.6" thickBot="1" x14ac:dyDescent="0.4">
      <c r="A17" s="105" t="s">
        <v>200</v>
      </c>
      <c r="B17" s="81">
        <f>B15*B16</f>
        <v>0</v>
      </c>
      <c r="C17" s="81">
        <f t="shared" ref="C17:K17" si="9">C15*C16</f>
        <v>0</v>
      </c>
      <c r="D17" s="81">
        <f t="shared" si="9"/>
        <v>0</v>
      </c>
      <c r="E17" s="81">
        <f t="shared" si="9"/>
        <v>0</v>
      </c>
      <c r="F17" s="81">
        <f t="shared" si="9"/>
        <v>0</v>
      </c>
      <c r="G17" s="81">
        <f t="shared" si="9"/>
        <v>0</v>
      </c>
      <c r="H17" s="81">
        <f t="shared" si="9"/>
        <v>0</v>
      </c>
      <c r="I17" s="81">
        <f t="shared" si="9"/>
        <v>0</v>
      </c>
      <c r="J17" s="81">
        <f t="shared" si="9"/>
        <v>0</v>
      </c>
      <c r="K17" s="81">
        <f t="shared" si="9"/>
        <v>0</v>
      </c>
      <c r="L17" s="89" t="s">
        <v>213</v>
      </c>
    </row>
    <row r="18" spans="1:18" ht="43.9" thickBot="1" x14ac:dyDescent="0.35">
      <c r="A18" s="128" t="s">
        <v>201</v>
      </c>
      <c r="B18" s="84">
        <f t="shared" ref="B18:K18" si="10">B12*(B14/$N$7)-B17</f>
        <v>6333.520776457166</v>
      </c>
      <c r="C18" s="84">
        <f t="shared" si="10"/>
        <v>5948.0091913293909</v>
      </c>
      <c r="D18" s="84">
        <f t="shared" si="10"/>
        <v>5649.8883559574797</v>
      </c>
      <c r="E18" s="84">
        <f t="shared" si="10"/>
        <v>5282.3728980727428</v>
      </c>
      <c r="F18" s="84">
        <f t="shared" si="10"/>
        <v>4925.5635753597444</v>
      </c>
      <c r="G18" s="84">
        <f t="shared" si="10"/>
        <v>4506.6133429516412</v>
      </c>
      <c r="H18" s="84">
        <f t="shared" si="10"/>
        <v>4255.5129699879026</v>
      </c>
      <c r="I18" s="84">
        <f t="shared" si="10"/>
        <v>3915.7411478191598</v>
      </c>
      <c r="J18" s="84">
        <f t="shared" si="10"/>
        <v>3587.2584335393335</v>
      </c>
      <c r="K18" s="84">
        <f t="shared" si="10"/>
        <v>3263.8435358341007</v>
      </c>
      <c r="L18" s="93" t="s">
        <v>214</v>
      </c>
      <c r="N18" s="60"/>
      <c r="O18" s="60"/>
      <c r="P18" s="60"/>
      <c r="Q18" s="60"/>
      <c r="R18" s="60"/>
    </row>
    <row r="19" spans="1:18" ht="14.45" x14ac:dyDescent="0.3">
      <c r="A19" s="85"/>
      <c r="B19" s="85"/>
      <c r="C19" s="85"/>
      <c r="D19" s="85"/>
      <c r="E19" s="85"/>
      <c r="F19" s="85"/>
      <c r="G19" s="85"/>
      <c r="H19" s="85"/>
      <c r="I19" s="85"/>
      <c r="J19" s="85"/>
      <c r="K19" s="85"/>
      <c r="N19" s="60"/>
      <c r="O19" s="60"/>
      <c r="P19" s="60"/>
      <c r="Q19" s="60"/>
      <c r="R19" s="60"/>
    </row>
  </sheetData>
  <mergeCells count="3">
    <mergeCell ref="B1:L1"/>
    <mergeCell ref="N1:O1"/>
    <mergeCell ref="B13:J1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34.42578125" customWidth="1"/>
    <col min="2" max="11" width="9" bestFit="1" customWidth="1"/>
    <col min="12" max="12" width="49.7109375" style="3" customWidth="1"/>
    <col min="14" max="14" width="7" bestFit="1" customWidth="1"/>
    <col min="15" max="15" width="40.85546875" bestFit="1" customWidth="1"/>
  </cols>
  <sheetData>
    <row r="1" spans="1:18" s="60" customFormat="1" ht="15.6" x14ac:dyDescent="0.3">
      <c r="A1" s="103" t="s">
        <v>32</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v>127229.74279459975</v>
      </c>
      <c r="C3" s="67">
        <f t="shared" ref="C3:G3" si="0">B3*(1+$N$9)</f>
        <v>128163.79378368173</v>
      </c>
      <c r="D3" s="67">
        <f t="shared" si="0"/>
        <v>129104.70206282058</v>
      </c>
      <c r="E3" s="67">
        <f t="shared" si="0"/>
        <v>130052.51797447885</v>
      </c>
      <c r="F3" s="67">
        <f t="shared" si="0"/>
        <v>131007.29223070582</v>
      </c>
      <c r="G3" s="67">
        <f t="shared" si="0"/>
        <v>131969.07591585082</v>
      </c>
      <c r="H3" s="67">
        <f t="shared" ref="H3:K4" si="1">G3*(1+$N$9)</f>
        <v>132937.92048929646</v>
      </c>
      <c r="I3" s="67">
        <f t="shared" si="1"/>
        <v>133913.87778821195</v>
      </c>
      <c r="J3" s="67">
        <f t="shared" si="1"/>
        <v>134897.00003032648</v>
      </c>
      <c r="K3" s="67">
        <f t="shared" si="1"/>
        <v>135887.33981672322</v>
      </c>
      <c r="L3" s="89" t="s">
        <v>219</v>
      </c>
      <c r="N3" s="64">
        <v>0.91839999999999999</v>
      </c>
      <c r="O3" s="9" t="s">
        <v>203</v>
      </c>
    </row>
    <row r="4" spans="1:18" s="60" customFormat="1" ht="57.6" x14ac:dyDescent="0.3">
      <c r="A4" s="105" t="s">
        <v>170</v>
      </c>
      <c r="B4" s="63">
        <f>SUMIFS('Form 1.1c'!J:J, 'Form 1.1c'!$B:$B, "Surprise Valley Electrification Corporation")*1000</f>
        <v>115000</v>
      </c>
      <c r="C4" s="63">
        <f>SUMIFS('Form 1.1c'!K:K, 'Form 1.1c'!$B:$B, "Surprise Valley Electrification Corporation")*1000</f>
        <v>116000</v>
      </c>
      <c r="D4" s="63">
        <f>SUMIFS('Form 1.1c'!L:L, 'Form 1.1c'!$B:$B, "Surprise Valley Electrification Corporation")*1000</f>
        <v>117000</v>
      </c>
      <c r="E4" s="63">
        <f>SUMIFS('Form 1.1c'!M:M, 'Form 1.1c'!$B:$B, "Surprise Valley Electrification Corporation")*1000</f>
        <v>118000</v>
      </c>
      <c r="F4" s="63">
        <f>SUMIFS('Form 1.1c'!N:N, 'Form 1.1c'!$B:$B, "Surprise Valley Electrification Corporation")*1000</f>
        <v>119000</v>
      </c>
      <c r="G4" s="63">
        <f>SUMIFS('Form 1.1c'!O:O, 'Form 1.1c'!$B:$B, "Surprise Valley Electrification Corporation")*1000</f>
        <v>119000</v>
      </c>
      <c r="H4" s="67">
        <f>AVERAGE(E4:G4)*(1+$N$9)</f>
        <v>119537.85224746284</v>
      </c>
      <c r="I4" s="63">
        <f t="shared" si="1"/>
        <v>120415.43359496846</v>
      </c>
      <c r="J4" s="63">
        <f t="shared" si="1"/>
        <v>121299.45766339477</v>
      </c>
      <c r="K4" s="63">
        <f t="shared" si="1"/>
        <v>122189.9717516651</v>
      </c>
      <c r="L4" s="89" t="s">
        <v>222</v>
      </c>
      <c r="N4" s="70">
        <f>0.15</f>
        <v>0.15</v>
      </c>
      <c r="O4" s="89" t="s">
        <v>166</v>
      </c>
    </row>
    <row r="5" spans="1:18" s="60" customFormat="1" ht="28.9" x14ac:dyDescent="0.3">
      <c r="A5" s="105" t="s">
        <v>194</v>
      </c>
      <c r="B5" s="63">
        <f t="shared" ref="B5:K5" si="2">IF(AND(0&lt;(B3-B4)/B3,(B3-B4)/B3&lt;$N$4),B4,B3*(1-$N$5))</f>
        <v>115000</v>
      </c>
      <c r="C5" s="63">
        <f t="shared" si="2"/>
        <v>116000</v>
      </c>
      <c r="D5" s="63">
        <f t="shared" si="2"/>
        <v>117000</v>
      </c>
      <c r="E5" s="63">
        <f t="shared" si="2"/>
        <v>118000</v>
      </c>
      <c r="F5" s="63">
        <f t="shared" si="2"/>
        <v>119000</v>
      </c>
      <c r="G5" s="63">
        <f t="shared" si="2"/>
        <v>119000</v>
      </c>
      <c r="H5" s="63">
        <f t="shared" si="2"/>
        <v>119537.85224746284</v>
      </c>
      <c r="I5" s="63">
        <f t="shared" si="2"/>
        <v>120415.43359496846</v>
      </c>
      <c r="J5" s="63">
        <f t="shared" si="2"/>
        <v>121299.45766339477</v>
      </c>
      <c r="K5" s="63">
        <f t="shared" si="2"/>
        <v>122189.9717516651</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14.45" x14ac:dyDescent="0.3">
      <c r="A8" s="105" t="s">
        <v>173</v>
      </c>
      <c r="B8" s="63">
        <v>122000</v>
      </c>
      <c r="C8" s="67">
        <f>B8</f>
        <v>122000</v>
      </c>
      <c r="D8" s="67">
        <f t="shared" ref="D8:K8" si="3">C8</f>
        <v>122000</v>
      </c>
      <c r="E8" s="67">
        <f t="shared" si="3"/>
        <v>122000</v>
      </c>
      <c r="F8" s="67">
        <f t="shared" si="3"/>
        <v>122000</v>
      </c>
      <c r="G8" s="67">
        <f t="shared" si="3"/>
        <v>122000</v>
      </c>
      <c r="H8" s="67">
        <f t="shared" si="3"/>
        <v>122000</v>
      </c>
      <c r="I8" s="67">
        <f t="shared" si="3"/>
        <v>122000</v>
      </c>
      <c r="J8" s="67">
        <f t="shared" si="3"/>
        <v>122000</v>
      </c>
      <c r="K8" s="67">
        <f t="shared" si="3"/>
        <v>122000</v>
      </c>
      <c r="L8" s="89" t="s">
        <v>258</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7.3414515235632472E-3</v>
      </c>
      <c r="O9" s="89" t="s">
        <v>206</v>
      </c>
    </row>
    <row r="10" spans="1:18" s="60" customFormat="1" ht="15.6" x14ac:dyDescent="0.3">
      <c r="A10" s="105" t="s">
        <v>174</v>
      </c>
      <c r="B10" s="63">
        <f>B5*B9</f>
        <v>39100</v>
      </c>
      <c r="C10" s="63">
        <f t="shared" ref="C10:K10" si="4">C5*C9</f>
        <v>41760</v>
      </c>
      <c r="D10" s="63">
        <f t="shared" si="4"/>
        <v>43290</v>
      </c>
      <c r="E10" s="63">
        <f t="shared" si="4"/>
        <v>46020</v>
      </c>
      <c r="F10" s="63">
        <f t="shared" si="4"/>
        <v>48790</v>
      </c>
      <c r="G10" s="63">
        <f t="shared" si="4"/>
        <v>49980</v>
      </c>
      <c r="H10" s="63">
        <f t="shared" si="4"/>
        <v>52596.654988883653</v>
      </c>
      <c r="I10" s="63">
        <f t="shared" si="4"/>
        <v>55391.099453685492</v>
      </c>
      <c r="J10" s="63">
        <f t="shared" si="4"/>
        <v>58223.739678429491</v>
      </c>
      <c r="K10" s="63">
        <f t="shared" si="4"/>
        <v>61094.98587583255</v>
      </c>
      <c r="L10" s="89" t="s">
        <v>207</v>
      </c>
      <c r="N10" s="68"/>
      <c r="O10" s="62"/>
    </row>
    <row r="11" spans="1:18" s="60" customFormat="1" ht="28.9" x14ac:dyDescent="0.3">
      <c r="A11" s="105" t="s">
        <v>175</v>
      </c>
      <c r="B11" s="63">
        <f t="shared" ref="B11:K11" si="5">MAX(B3-SUM(B6:B8,B10), B3*$N$6)</f>
        <v>6361.4871397299876</v>
      </c>
      <c r="C11" s="63">
        <f t="shared" si="5"/>
        <v>6408.189689184087</v>
      </c>
      <c r="D11" s="63">
        <f t="shared" si="5"/>
        <v>6455.235103141029</v>
      </c>
      <c r="E11" s="63">
        <f t="shared" si="5"/>
        <v>6502.6258987239426</v>
      </c>
      <c r="F11" s="63">
        <f t="shared" si="5"/>
        <v>6550.3646115352913</v>
      </c>
      <c r="G11" s="63">
        <f t="shared" si="5"/>
        <v>6598.4537957925413</v>
      </c>
      <c r="H11" s="63">
        <f t="shared" si="5"/>
        <v>6646.8960244648233</v>
      </c>
      <c r="I11" s="63">
        <f t="shared" si="5"/>
        <v>6695.6938894105979</v>
      </c>
      <c r="J11" s="63">
        <f t="shared" si="5"/>
        <v>6744.8500015163245</v>
      </c>
      <c r="K11" s="63">
        <f t="shared" si="5"/>
        <v>6794.3669908361617</v>
      </c>
      <c r="L11" s="89" t="s">
        <v>208</v>
      </c>
      <c r="N11" s="68"/>
      <c r="O11" s="62"/>
    </row>
    <row r="12" spans="1:18" s="60" customFormat="1" ht="43.9" x14ac:dyDescent="0.35">
      <c r="A12" s="105" t="s">
        <v>197</v>
      </c>
      <c r="B12" s="63">
        <f t="shared" ref="B12:K12" si="6">B6*$N$3+B11*$N$2</f>
        <v>2769.7915006384364</v>
      </c>
      <c r="C12" s="63">
        <f t="shared" si="6"/>
        <v>2790.1257906707515</v>
      </c>
      <c r="D12" s="63">
        <f t="shared" si="6"/>
        <v>2810.6093639076039</v>
      </c>
      <c r="E12" s="63">
        <f t="shared" si="6"/>
        <v>2831.2433163044047</v>
      </c>
      <c r="F12" s="63">
        <f t="shared" si="6"/>
        <v>2852.0287518624659</v>
      </c>
      <c r="G12" s="63">
        <f t="shared" si="6"/>
        <v>2872.9667826880727</v>
      </c>
      <c r="H12" s="63">
        <f t="shared" si="6"/>
        <v>2894.0585290519844</v>
      </c>
      <c r="I12" s="63">
        <f t="shared" si="6"/>
        <v>2915.3051194493742</v>
      </c>
      <c r="J12" s="63">
        <f t="shared" si="6"/>
        <v>2936.7076906602078</v>
      </c>
      <c r="K12" s="63">
        <f t="shared" si="6"/>
        <v>2958.267387810065</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7">$K$13*B14</f>
        <v>0</v>
      </c>
      <c r="C15" s="88">
        <f t="shared" si="7"/>
        <v>0</v>
      </c>
      <c r="D15" s="88">
        <f t="shared" si="7"/>
        <v>0</v>
      </c>
      <c r="E15" s="88">
        <f t="shared" si="7"/>
        <v>0</v>
      </c>
      <c r="F15" s="88">
        <f t="shared" si="7"/>
        <v>0</v>
      </c>
      <c r="G15" s="88">
        <f t="shared" si="7"/>
        <v>0</v>
      </c>
      <c r="H15" s="88">
        <f t="shared" si="7"/>
        <v>0</v>
      </c>
      <c r="I15" s="88">
        <f t="shared" si="7"/>
        <v>0</v>
      </c>
      <c r="J15" s="88">
        <f t="shared" si="7"/>
        <v>0</v>
      </c>
      <c r="K15" s="88">
        <f t="shared" si="7"/>
        <v>0</v>
      </c>
      <c r="L15" s="108" t="s">
        <v>211</v>
      </c>
    </row>
    <row r="16" spans="1:18" s="60" customFormat="1" ht="30" x14ac:dyDescent="0.35">
      <c r="A16" s="105" t="s">
        <v>199</v>
      </c>
      <c r="B16" s="82">
        <f t="shared" ref="B16:K16" si="8">B12/B3</f>
        <v>2.1770000000000001E-2</v>
      </c>
      <c r="C16" s="82">
        <f t="shared" si="8"/>
        <v>2.1770000000000001E-2</v>
      </c>
      <c r="D16" s="82">
        <f t="shared" si="8"/>
        <v>2.1769999999999998E-2</v>
      </c>
      <c r="E16" s="82">
        <f t="shared" si="8"/>
        <v>2.1770000000000001E-2</v>
      </c>
      <c r="F16" s="82">
        <f t="shared" si="8"/>
        <v>2.1770000000000001E-2</v>
      </c>
      <c r="G16" s="82">
        <f t="shared" si="8"/>
        <v>2.1770000000000005E-2</v>
      </c>
      <c r="H16" s="82">
        <f t="shared" si="8"/>
        <v>2.1770000000000001E-2</v>
      </c>
      <c r="I16" s="82">
        <f t="shared" si="8"/>
        <v>2.1770000000000001E-2</v>
      </c>
      <c r="J16" s="82">
        <f t="shared" si="8"/>
        <v>2.1770000000000001E-2</v>
      </c>
      <c r="K16" s="82">
        <f t="shared" si="8"/>
        <v>2.1770000000000005E-2</v>
      </c>
      <c r="L16" s="89" t="s">
        <v>212</v>
      </c>
    </row>
    <row r="17" spans="1:12" s="60" customFormat="1" ht="30.6" thickBot="1" x14ac:dyDescent="0.4">
      <c r="A17" s="105" t="s">
        <v>200</v>
      </c>
      <c r="B17" s="81">
        <f>B15*B16</f>
        <v>0</v>
      </c>
      <c r="C17" s="81">
        <f t="shared" ref="C17:K17" si="9">C15*C16</f>
        <v>0</v>
      </c>
      <c r="D17" s="81">
        <f t="shared" si="9"/>
        <v>0</v>
      </c>
      <c r="E17" s="81">
        <f t="shared" si="9"/>
        <v>0</v>
      </c>
      <c r="F17" s="81">
        <f t="shared" si="9"/>
        <v>0</v>
      </c>
      <c r="G17" s="81">
        <f t="shared" si="9"/>
        <v>0</v>
      </c>
      <c r="H17" s="81">
        <f t="shared" si="9"/>
        <v>0</v>
      </c>
      <c r="I17" s="81">
        <f t="shared" si="9"/>
        <v>0</v>
      </c>
      <c r="J17" s="81">
        <f t="shared" si="9"/>
        <v>0</v>
      </c>
      <c r="K17" s="81">
        <f t="shared" si="9"/>
        <v>0</v>
      </c>
      <c r="L17" s="89" t="s">
        <v>213</v>
      </c>
    </row>
    <row r="18" spans="1:12" ht="43.9" thickBot="1" x14ac:dyDescent="0.35">
      <c r="A18" s="128" t="s">
        <v>201</v>
      </c>
      <c r="B18" s="84">
        <f t="shared" ref="B18:K18" si="10">B12*(B14/$N$7)-B17</f>
        <v>2659.1300305776763</v>
      </c>
      <c r="C18" s="84">
        <f t="shared" si="10"/>
        <v>2567.1780189132764</v>
      </c>
      <c r="D18" s="84">
        <f t="shared" si="10"/>
        <v>2473.7325658834257</v>
      </c>
      <c r="E18" s="84">
        <f t="shared" si="10"/>
        <v>2378.7766993626901</v>
      </c>
      <c r="F18" s="84">
        <f t="shared" si="10"/>
        <v>2282.293278517438</v>
      </c>
      <c r="G18" s="84">
        <f t="shared" si="10"/>
        <v>2184.2649922434584</v>
      </c>
      <c r="H18" s="84">
        <f t="shared" si="10"/>
        <v>2088.0751314194104</v>
      </c>
      <c r="I18" s="84">
        <f t="shared" si="10"/>
        <v>1986.9294586141446</v>
      </c>
      <c r="J18" s="84">
        <f t="shared" si="10"/>
        <v>1884.1861329030244</v>
      </c>
      <c r="K18" s="84">
        <f t="shared" si="10"/>
        <v>1776.3509226450567</v>
      </c>
      <c r="L18" s="93" t="s">
        <v>214</v>
      </c>
    </row>
    <row r="19" spans="1:12" ht="14.45" x14ac:dyDescent="0.3">
      <c r="A19" s="85"/>
      <c r="B19" s="85"/>
      <c r="C19" s="85"/>
      <c r="D19" s="85"/>
      <c r="E19" s="85"/>
      <c r="F19" s="85"/>
      <c r="G19" s="85"/>
      <c r="H19" s="85"/>
      <c r="I19" s="85"/>
      <c r="J19" s="85"/>
      <c r="K19" s="85"/>
    </row>
  </sheetData>
  <mergeCells count="3">
    <mergeCell ref="B1:L1"/>
    <mergeCell ref="N1:O1"/>
    <mergeCell ref="B13:J13"/>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35.7109375" customWidth="1"/>
    <col min="2" max="11" width="9" bestFit="1" customWidth="1"/>
    <col min="12" max="12" width="49.140625" style="3" bestFit="1" customWidth="1"/>
    <col min="14" max="14" width="7" bestFit="1" customWidth="1"/>
    <col min="15" max="15" width="43.28515625" customWidth="1"/>
  </cols>
  <sheetData>
    <row r="1" spans="1:18" s="60" customFormat="1" ht="15.6" x14ac:dyDescent="0.3">
      <c r="A1" s="103" t="s">
        <v>25</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v>167511.835939938</v>
      </c>
      <c r="C3" s="67">
        <f t="shared" ref="C3:G3" si="0">B3*(1+$N$9)</f>
        <v>168739.11928676011</v>
      </c>
      <c r="D3" s="67">
        <f t="shared" si="0"/>
        <v>169975.39438276182</v>
      </c>
      <c r="E3" s="67">
        <f t="shared" si="0"/>
        <v>171220.72710641651</v>
      </c>
      <c r="F3" s="67">
        <f t="shared" si="0"/>
        <v>172475.18381885934</v>
      </c>
      <c r="G3" s="67">
        <f t="shared" si="0"/>
        <v>173738.83136742338</v>
      </c>
      <c r="H3" s="67">
        <f t="shared" ref="H3:K4" si="1">G3*(1+$N$9)</f>
        <v>175011.7370892019</v>
      </c>
      <c r="I3" s="67">
        <f t="shared" si="1"/>
        <v>176293.96881463649</v>
      </c>
      <c r="J3" s="67">
        <f t="shared" si="1"/>
        <v>177585.59487113173</v>
      </c>
      <c r="K3" s="67">
        <f t="shared" si="1"/>
        <v>178886.68408669607</v>
      </c>
      <c r="L3" s="89" t="s">
        <v>217</v>
      </c>
      <c r="N3" s="64">
        <v>0.91839999999999999</v>
      </c>
      <c r="O3" s="9" t="s">
        <v>203</v>
      </c>
    </row>
    <row r="4" spans="1:18" s="60" customFormat="1" ht="57.6" x14ac:dyDescent="0.3">
      <c r="A4" s="105" t="s">
        <v>170</v>
      </c>
      <c r="B4" s="63">
        <f>SUMIFS('Form 1.1c'!J:J, 'Form 1.1c'!$B:$B, "Truckee-Donner Public Utility District")*1000</f>
        <v>150000</v>
      </c>
      <c r="C4" s="63">
        <f>SUMIFS('Form 1.1c'!K:K, 'Form 1.1c'!$B:$B, "Truckee-Donner Public Utility District")*1000</f>
        <v>151000</v>
      </c>
      <c r="D4" s="63">
        <f>SUMIFS('Form 1.1c'!L:L, 'Form 1.1c'!$B:$B, "Truckee-Donner Public Utility District")*1000</f>
        <v>152000</v>
      </c>
      <c r="E4" s="63">
        <f>SUMIFS('Form 1.1c'!M:M, 'Form 1.1c'!$B:$B, "Truckee-Donner Public Utility District")*1000</f>
        <v>153000</v>
      </c>
      <c r="F4" s="63">
        <f>SUMIFS('Form 1.1c'!N:N, 'Form 1.1c'!$B:$B, "Truckee-Donner Public Utility District")*1000</f>
        <v>154000</v>
      </c>
      <c r="G4" s="63">
        <f>SUMIFS('Form 1.1c'!O:O, 'Form 1.1c'!$B:$B, "Truckee-Donner Public Utility District")*1000</f>
        <v>155000</v>
      </c>
      <c r="H4" s="67">
        <f>AVERAGE(E4:G4)*(1+$N$9)</f>
        <v>155128.28824512658</v>
      </c>
      <c r="I4" s="63">
        <f t="shared" si="1"/>
        <v>156264.84294716283</v>
      </c>
      <c r="J4" s="63">
        <f t="shared" si="1"/>
        <v>157409.72467069421</v>
      </c>
      <c r="K4" s="63">
        <f t="shared" si="1"/>
        <v>158562.99442403548</v>
      </c>
      <c r="L4" s="89" t="s">
        <v>222</v>
      </c>
      <c r="N4" s="70">
        <f>0.15</f>
        <v>0.15</v>
      </c>
      <c r="O4" s="89" t="s">
        <v>166</v>
      </c>
    </row>
    <row r="5" spans="1:18" s="60" customFormat="1" ht="28.9" x14ac:dyDescent="0.3">
      <c r="A5" s="105" t="s">
        <v>194</v>
      </c>
      <c r="B5" s="63">
        <f t="shared" ref="B5:K5" si="2">IF(AND(0&lt;(B3-B4)/B3,(B3-B4)/B3&lt;$N$4),B4,B3*(1-$N$5))</f>
        <v>150000</v>
      </c>
      <c r="C5" s="63">
        <f t="shared" si="2"/>
        <v>151000</v>
      </c>
      <c r="D5" s="63">
        <f t="shared" si="2"/>
        <v>152000</v>
      </c>
      <c r="E5" s="63">
        <f t="shared" si="2"/>
        <v>153000</v>
      </c>
      <c r="F5" s="63">
        <f t="shared" si="2"/>
        <v>154000</v>
      </c>
      <c r="G5" s="63">
        <f t="shared" si="2"/>
        <v>155000</v>
      </c>
      <c r="H5" s="63">
        <f t="shared" si="2"/>
        <v>155128.28824512658</v>
      </c>
      <c r="I5" s="63">
        <f t="shared" si="2"/>
        <v>156264.84294716283</v>
      </c>
      <c r="J5" s="63">
        <f t="shared" si="2"/>
        <v>157409.72467069421</v>
      </c>
      <c r="K5" s="63">
        <f t="shared" si="2"/>
        <v>158562.99442403548</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14.45" x14ac:dyDescent="0.3">
      <c r="A8" s="105" t="s">
        <v>173</v>
      </c>
      <c r="B8" s="67">
        <v>0</v>
      </c>
      <c r="C8" s="67">
        <v>0</v>
      </c>
      <c r="D8" s="67">
        <v>0</v>
      </c>
      <c r="E8" s="67">
        <v>0</v>
      </c>
      <c r="F8" s="67">
        <v>0</v>
      </c>
      <c r="G8" s="67">
        <v>0</v>
      </c>
      <c r="H8" s="67">
        <v>0</v>
      </c>
      <c r="I8" s="67">
        <v>0</v>
      </c>
      <c r="J8" s="67">
        <v>0</v>
      </c>
      <c r="K8" s="67">
        <v>0</v>
      </c>
      <c r="L8" s="120" t="s">
        <v>246</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7.3265470462764437E-3</v>
      </c>
      <c r="O9" s="89" t="s">
        <v>206</v>
      </c>
    </row>
    <row r="10" spans="1:18" s="60" customFormat="1" ht="15.6" x14ac:dyDescent="0.3">
      <c r="A10" s="105" t="s">
        <v>174</v>
      </c>
      <c r="B10" s="63">
        <f>B5*B9</f>
        <v>51000.000000000007</v>
      </c>
      <c r="C10" s="63">
        <f t="shared" ref="C10:K10" si="3">C5*C9</f>
        <v>54360</v>
      </c>
      <c r="D10" s="63">
        <f t="shared" si="3"/>
        <v>56240</v>
      </c>
      <c r="E10" s="63">
        <f t="shared" si="3"/>
        <v>59670</v>
      </c>
      <c r="F10" s="63">
        <f t="shared" si="3"/>
        <v>63139.999999999993</v>
      </c>
      <c r="G10" s="63">
        <f t="shared" si="3"/>
        <v>65100</v>
      </c>
      <c r="H10" s="63">
        <f t="shared" si="3"/>
        <v>68256.446827855689</v>
      </c>
      <c r="I10" s="63">
        <f t="shared" si="3"/>
        <v>71881.827755694903</v>
      </c>
      <c r="J10" s="63">
        <f t="shared" si="3"/>
        <v>75556.667841933217</v>
      </c>
      <c r="K10" s="63">
        <f t="shared" si="3"/>
        <v>79281.497212017741</v>
      </c>
      <c r="L10" s="89" t="s">
        <v>207</v>
      </c>
      <c r="N10" s="68"/>
      <c r="O10" s="62"/>
    </row>
    <row r="11" spans="1:18" s="60" customFormat="1" ht="28.9" x14ac:dyDescent="0.3">
      <c r="A11" s="105" t="s">
        <v>175</v>
      </c>
      <c r="B11" s="63">
        <f t="shared" ref="B11:K11" si="4">MAX(B3-SUM(B6:B8,B10), B3*$N$6)</f>
        <v>116511.835939938</v>
      </c>
      <c r="C11" s="63">
        <f t="shared" si="4"/>
        <v>114379.11928676011</v>
      </c>
      <c r="D11" s="63">
        <f t="shared" si="4"/>
        <v>113735.39438276182</v>
      </c>
      <c r="E11" s="63">
        <f t="shared" si="4"/>
        <v>111550.72710641651</v>
      </c>
      <c r="F11" s="63">
        <f t="shared" si="4"/>
        <v>109335.18381885934</v>
      </c>
      <c r="G11" s="63">
        <f t="shared" si="4"/>
        <v>108638.83136742338</v>
      </c>
      <c r="H11" s="63">
        <f t="shared" si="4"/>
        <v>106755.29026134621</v>
      </c>
      <c r="I11" s="63">
        <f t="shared" si="4"/>
        <v>104412.14105894159</v>
      </c>
      <c r="J11" s="63">
        <f t="shared" si="4"/>
        <v>102028.92702919852</v>
      </c>
      <c r="K11" s="63">
        <f t="shared" si="4"/>
        <v>99605.186874678329</v>
      </c>
      <c r="L11" s="89" t="s">
        <v>208</v>
      </c>
      <c r="N11" s="68"/>
      <c r="O11" s="62"/>
    </row>
    <row r="12" spans="1:18" s="60" customFormat="1" ht="43.9" x14ac:dyDescent="0.35">
      <c r="A12" s="105" t="s">
        <v>197</v>
      </c>
      <c r="B12" s="63">
        <f t="shared" ref="B12:K12" si="5">B6*$N$3+B11*$N$2</f>
        <v>50729.253368249003</v>
      </c>
      <c r="C12" s="63">
        <f t="shared" si="5"/>
        <v>49800.668537455349</v>
      </c>
      <c r="D12" s="63">
        <f t="shared" si="5"/>
        <v>49520.390714254499</v>
      </c>
      <c r="E12" s="63">
        <f t="shared" si="5"/>
        <v>48569.186582133749</v>
      </c>
      <c r="F12" s="63">
        <f t="shared" si="5"/>
        <v>47604.539034731359</v>
      </c>
      <c r="G12" s="63">
        <f t="shared" si="5"/>
        <v>47301.347177376141</v>
      </c>
      <c r="H12" s="63">
        <f t="shared" si="5"/>
        <v>46481.253379790141</v>
      </c>
      <c r="I12" s="63">
        <f t="shared" si="5"/>
        <v>45461.046217063173</v>
      </c>
      <c r="J12" s="63">
        <f t="shared" si="5"/>
        <v>44423.394828513032</v>
      </c>
      <c r="K12" s="63">
        <f t="shared" si="5"/>
        <v>43368.098365234946</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8" s="60" customFormat="1" ht="30" x14ac:dyDescent="0.35">
      <c r="A16" s="105" t="s">
        <v>199</v>
      </c>
      <c r="B16" s="82">
        <f t="shared" ref="B16:K16" si="7">B12/B3</f>
        <v>0.30283981477248073</v>
      </c>
      <c r="C16" s="82">
        <f t="shared" si="7"/>
        <v>0.29513410255995626</v>
      </c>
      <c r="D16" s="82">
        <f t="shared" si="7"/>
        <v>0.2913385839996418</v>
      </c>
      <c r="E16" s="82">
        <f t="shared" si="7"/>
        <v>0.28366417666213506</v>
      </c>
      <c r="F16" s="82">
        <f t="shared" si="7"/>
        <v>0.27600804927813638</v>
      </c>
      <c r="G16" s="82">
        <f t="shared" si="7"/>
        <v>0.27225546992049876</v>
      </c>
      <c r="H16" s="82">
        <f t="shared" si="7"/>
        <v>0.26558934933660516</v>
      </c>
      <c r="I16" s="82">
        <f t="shared" si="7"/>
        <v>0.25787068339735991</v>
      </c>
      <c r="J16" s="82">
        <f t="shared" si="7"/>
        <v>0.25015201745811472</v>
      </c>
      <c r="K16" s="82">
        <f t="shared" si="7"/>
        <v>0.24243335151886949</v>
      </c>
      <c r="L16" s="89" t="s">
        <v>212</v>
      </c>
    </row>
    <row r="17" spans="1:18"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8" ht="43.9" thickBot="1" x14ac:dyDescent="0.35">
      <c r="A18" s="128" t="s">
        <v>201</v>
      </c>
      <c r="B18" s="84">
        <f t="shared" ref="B18:K18" si="9">B12*(B14/$N$7)-B17</f>
        <v>48702.467687261378</v>
      </c>
      <c r="C18" s="84">
        <f t="shared" si="9"/>
        <v>45821.296668422488</v>
      </c>
      <c r="D18" s="84">
        <f t="shared" si="9"/>
        <v>43584.926727352082</v>
      </c>
      <c r="E18" s="84">
        <f t="shared" si="9"/>
        <v>40807.248420946686</v>
      </c>
      <c r="F18" s="84">
        <f t="shared" si="9"/>
        <v>38094.819133551187</v>
      </c>
      <c r="G18" s="84">
        <f t="shared" si="9"/>
        <v>35962.363835208416</v>
      </c>
      <c r="H18" s="84">
        <f t="shared" si="9"/>
        <v>33536.415482010751</v>
      </c>
      <c r="I18" s="84">
        <f t="shared" si="9"/>
        <v>30984.02679893847</v>
      </c>
      <c r="J18" s="84">
        <f t="shared" si="9"/>
        <v>28501.966599727519</v>
      </c>
      <c r="K18" s="84">
        <f t="shared" si="9"/>
        <v>26041.243554212761</v>
      </c>
      <c r="L18" s="93" t="s">
        <v>214</v>
      </c>
      <c r="N18" s="60"/>
      <c r="O18" s="60"/>
      <c r="P18" s="60"/>
      <c r="Q18" s="60"/>
      <c r="R18" s="60"/>
    </row>
    <row r="19" spans="1:18" ht="14.45" x14ac:dyDescent="0.3">
      <c r="A19" s="85"/>
      <c r="B19" s="85"/>
      <c r="C19" s="85"/>
      <c r="D19" s="85"/>
      <c r="E19" s="85"/>
      <c r="F19" s="85"/>
      <c r="G19" s="85"/>
      <c r="H19" s="85"/>
      <c r="I19" s="85"/>
      <c r="J19" s="85"/>
      <c r="K19" s="85"/>
      <c r="N19" s="60"/>
      <c r="O19" s="60"/>
      <c r="P19" s="60"/>
      <c r="Q19" s="60"/>
      <c r="R19" s="60"/>
    </row>
  </sheetData>
  <mergeCells count="3">
    <mergeCell ref="B1:L1"/>
    <mergeCell ref="N1:O1"/>
    <mergeCell ref="B13:J13"/>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workbookViewId="0"/>
  </sheetViews>
  <sheetFormatPr defaultRowHeight="15" x14ac:dyDescent="0.25"/>
  <cols>
    <col min="1" max="1" width="34.140625" customWidth="1"/>
    <col min="2" max="11" width="10.5703125" bestFit="1" customWidth="1"/>
    <col min="12" max="12" width="49.28515625" style="3" customWidth="1"/>
    <col min="14" max="14" width="8.7109375" customWidth="1"/>
    <col min="15" max="15" width="40" customWidth="1"/>
    <col min="16" max="17" width="12" customWidth="1"/>
    <col min="18" max="18" width="11.28515625" customWidth="1"/>
    <col min="19" max="19" width="14.28515625" customWidth="1"/>
    <col min="20" max="20" width="10.7109375" bestFit="1" customWidth="1"/>
  </cols>
  <sheetData>
    <row r="1" spans="1:18" s="60" customFormat="1" ht="15.6" x14ac:dyDescent="0.3">
      <c r="A1" s="103" t="s">
        <v>33</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58.15" x14ac:dyDescent="0.35">
      <c r="A3" s="105" t="s">
        <v>169</v>
      </c>
      <c r="B3" s="63">
        <f>SUMIFS('Form 1.5a'!J:J, 'Form 1.5a'!$B:$B, "Turlock Irrigation District")*1000</f>
        <v>2258000</v>
      </c>
      <c r="C3" s="63">
        <f>SUMIFS('Form 1.5a'!K:K, 'Form 1.5a'!$B:$B, "Turlock Irrigation District")*1000</f>
        <v>2282000</v>
      </c>
      <c r="D3" s="63">
        <f>SUMIFS('Form 1.5a'!L:L, 'Form 1.5a'!$B:$B, "Turlock Irrigation District")*1000</f>
        <v>2308000</v>
      </c>
      <c r="E3" s="63">
        <f>SUMIFS('Form 1.5a'!M:M, 'Form 1.5a'!$B:$B, "Turlock Irrigation District")*1000</f>
        <v>2332000</v>
      </c>
      <c r="F3" s="63">
        <f>SUMIFS('Form 1.5a'!N:N, 'Form 1.5a'!$B:$B, "Turlock Irrigation District")*1000</f>
        <v>2354000</v>
      </c>
      <c r="G3" s="63">
        <f>SUMIFS('Form 1.5a'!O:O, 'Form 1.5a'!$B:$B, "Turlock Irrigation District")*1000</f>
        <v>2378000</v>
      </c>
      <c r="H3" s="67">
        <f>AVERAGE(E3:G3)*(1+$N$9)</f>
        <v>2379660.9709949605</v>
      </c>
      <c r="I3" s="67">
        <f t="shared" ref="I3:K4" si="0">H3*(1+$N$9)</f>
        <v>2404920.5847437764</v>
      </c>
      <c r="J3" s="67">
        <f t="shared" si="0"/>
        <v>2430448.3241182659</v>
      </c>
      <c r="K3" s="67">
        <f t="shared" si="0"/>
        <v>2456247.0352170216</v>
      </c>
      <c r="L3" s="89" t="s">
        <v>218</v>
      </c>
      <c r="N3" s="64">
        <v>0.91839999999999999</v>
      </c>
      <c r="O3" s="9" t="s">
        <v>203</v>
      </c>
    </row>
    <row r="4" spans="1:18" s="60" customFormat="1" ht="57.6" x14ac:dyDescent="0.3">
      <c r="A4" s="105" t="s">
        <v>170</v>
      </c>
      <c r="B4" s="63">
        <f>SUMIFS('Form 1.1c'!J:J, 'Form 1.1c'!$B:$B, "Turlock Irrigation District")*1000</f>
        <v>2123000</v>
      </c>
      <c r="C4" s="63">
        <f>SUMIFS('Form 1.1c'!K:K, 'Form 1.1c'!$B:$B, "Turlock Irrigation District")*1000</f>
        <v>2146000</v>
      </c>
      <c r="D4" s="63">
        <f>SUMIFS('Form 1.1c'!L:L, 'Form 1.1c'!$B:$B, "Turlock Irrigation District")*1000</f>
        <v>2170000</v>
      </c>
      <c r="E4" s="63">
        <f>SUMIFS('Form 1.1c'!M:M, 'Form 1.1c'!$B:$B, "Turlock Irrigation District")*1000</f>
        <v>2193000</v>
      </c>
      <c r="F4" s="63">
        <f>SUMIFS('Form 1.1c'!N:N, 'Form 1.1c'!$B:$B, "Turlock Irrigation District")*1000</f>
        <v>2214000</v>
      </c>
      <c r="G4" s="63">
        <f>SUMIFS('Form 1.1c'!O:O, 'Form 1.1c'!$B:$B, "Turlock Irrigation District")*1000</f>
        <v>2237000</v>
      </c>
      <c r="H4" s="67">
        <f>AVERAGE(E4:G4)*(1+$N$9)</f>
        <v>2238174.8996730628</v>
      </c>
      <c r="I4" s="63">
        <f t="shared" si="0"/>
        <v>2261932.6677573114</v>
      </c>
      <c r="J4" s="63">
        <f t="shared" si="0"/>
        <v>2285942.6196831474</v>
      </c>
      <c r="K4" s="63">
        <f t="shared" si="0"/>
        <v>2310207.4323303918</v>
      </c>
      <c r="L4" s="89" t="s">
        <v>222</v>
      </c>
      <c r="N4" s="70">
        <f>0.15</f>
        <v>0.15</v>
      </c>
      <c r="O4" s="89" t="s">
        <v>166</v>
      </c>
    </row>
    <row r="5" spans="1:18" s="60" customFormat="1" ht="28.9" x14ac:dyDescent="0.3">
      <c r="A5" s="105" t="s">
        <v>194</v>
      </c>
      <c r="B5" s="63">
        <f t="shared" ref="B5:K5" si="1">IF(AND(0&lt;(B3-B4)/B3,(B3-B4)/B3&lt;$N$4),B4,B3*(1-$N$5))</f>
        <v>2123000</v>
      </c>
      <c r="C5" s="63">
        <f t="shared" si="1"/>
        <v>2146000</v>
      </c>
      <c r="D5" s="63">
        <f t="shared" si="1"/>
        <v>2170000</v>
      </c>
      <c r="E5" s="63">
        <f t="shared" si="1"/>
        <v>2193000</v>
      </c>
      <c r="F5" s="63">
        <f t="shared" si="1"/>
        <v>2214000</v>
      </c>
      <c r="G5" s="63">
        <f t="shared" si="1"/>
        <v>2237000</v>
      </c>
      <c r="H5" s="63">
        <f t="shared" si="1"/>
        <v>2238174.8996730628</v>
      </c>
      <c r="I5" s="63">
        <f t="shared" si="1"/>
        <v>2261932.6677573114</v>
      </c>
      <c r="J5" s="63">
        <f t="shared" si="1"/>
        <v>2285942.6196831474</v>
      </c>
      <c r="K5" s="63">
        <f t="shared" si="1"/>
        <v>2310207.4323303918</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242</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243</v>
      </c>
      <c r="N7" s="86">
        <v>0.85099999999999998</v>
      </c>
      <c r="O7" s="89" t="s">
        <v>168</v>
      </c>
    </row>
    <row r="8" spans="1:18" s="60" customFormat="1" ht="28.9" x14ac:dyDescent="0.3">
      <c r="A8" s="105" t="s">
        <v>173</v>
      </c>
      <c r="B8" s="67">
        <v>500821.19783011364</v>
      </c>
      <c r="C8" s="67">
        <v>499267.50356602599</v>
      </c>
      <c r="D8" s="67">
        <v>497730.29369082447</v>
      </c>
      <c r="E8" s="67">
        <v>496293.09728022548</v>
      </c>
      <c r="F8" s="63">
        <f>AVERAGE(C8:E8)</f>
        <v>497763.63151235861</v>
      </c>
      <c r="G8" s="63">
        <f>F8</f>
        <v>497763.63151235861</v>
      </c>
      <c r="H8" s="63">
        <f t="shared" ref="H8:K8" si="2">G8</f>
        <v>497763.63151235861</v>
      </c>
      <c r="I8" s="63">
        <f t="shared" si="2"/>
        <v>497763.63151235861</v>
      </c>
      <c r="J8" s="63">
        <f t="shared" si="2"/>
        <v>497763.63151235861</v>
      </c>
      <c r="K8" s="63">
        <f t="shared" si="2"/>
        <v>497763.63151235861</v>
      </c>
      <c r="L8" s="89" t="s">
        <v>251</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1.0614795156410173E-2</v>
      </c>
      <c r="O9" s="89" t="s">
        <v>206</v>
      </c>
    </row>
    <row r="10" spans="1:18" s="60" customFormat="1" ht="15.6" x14ac:dyDescent="0.3">
      <c r="A10" s="105" t="s">
        <v>174</v>
      </c>
      <c r="B10" s="63">
        <f>B5*B9</f>
        <v>721820</v>
      </c>
      <c r="C10" s="63">
        <f t="shared" ref="C10:K10" si="3">C5*C9</f>
        <v>772560</v>
      </c>
      <c r="D10" s="63">
        <f t="shared" si="3"/>
        <v>802900</v>
      </c>
      <c r="E10" s="63">
        <f t="shared" si="3"/>
        <v>855270</v>
      </c>
      <c r="F10" s="63">
        <f t="shared" si="3"/>
        <v>907740</v>
      </c>
      <c r="G10" s="63">
        <f t="shared" si="3"/>
        <v>939540</v>
      </c>
      <c r="H10" s="63">
        <f t="shared" si="3"/>
        <v>984796.95585614769</v>
      </c>
      <c r="I10" s="63">
        <f t="shared" si="3"/>
        <v>1040489.0271683633</v>
      </c>
      <c r="J10" s="63">
        <f t="shared" si="3"/>
        <v>1097252.4574479107</v>
      </c>
      <c r="K10" s="63">
        <f t="shared" si="3"/>
        <v>1155103.7161651959</v>
      </c>
      <c r="L10" s="89" t="s">
        <v>207</v>
      </c>
      <c r="N10" s="68"/>
      <c r="O10" s="62"/>
    </row>
    <row r="11" spans="1:18" s="60" customFormat="1" ht="28.9" x14ac:dyDescent="0.3">
      <c r="A11" s="105" t="s">
        <v>175</v>
      </c>
      <c r="B11" s="63">
        <f t="shared" ref="B11:K11" si="4">MAX(B3-SUM(B6:B8,B10), B3*$N$6)</f>
        <v>1035358.8021698864</v>
      </c>
      <c r="C11" s="63">
        <f t="shared" si="4"/>
        <v>1010172.496433974</v>
      </c>
      <c r="D11" s="63">
        <f t="shared" si="4"/>
        <v>1007369.7063091756</v>
      </c>
      <c r="E11" s="63">
        <f t="shared" si="4"/>
        <v>980436.90271977452</v>
      </c>
      <c r="F11" s="63">
        <f t="shared" si="4"/>
        <v>948496.36848764145</v>
      </c>
      <c r="G11" s="63">
        <f t="shared" si="4"/>
        <v>940696.36848764145</v>
      </c>
      <c r="H11" s="63">
        <f t="shared" si="4"/>
        <v>897100.38362645428</v>
      </c>
      <c r="I11" s="63">
        <f t="shared" si="4"/>
        <v>866667.92606305447</v>
      </c>
      <c r="J11" s="63">
        <f t="shared" si="4"/>
        <v>835432.23515799665</v>
      </c>
      <c r="K11" s="63">
        <f t="shared" si="4"/>
        <v>803379.68753946712</v>
      </c>
      <c r="L11" s="89" t="s">
        <v>208</v>
      </c>
      <c r="N11" s="68"/>
      <c r="O11" s="62"/>
    </row>
    <row r="12" spans="1:18" s="60" customFormat="1" ht="43.9" x14ac:dyDescent="0.35">
      <c r="A12" s="105" t="s">
        <v>197</v>
      </c>
      <c r="B12" s="63">
        <f t="shared" ref="B12:K12" si="5">B6*$N$3+B11*$N$2</f>
        <v>450795.22246476857</v>
      </c>
      <c r="C12" s="63">
        <f t="shared" si="5"/>
        <v>439829.10494735232</v>
      </c>
      <c r="D12" s="63">
        <f t="shared" si="5"/>
        <v>438608.77012701507</v>
      </c>
      <c r="E12" s="63">
        <f t="shared" si="5"/>
        <v>426882.22744418983</v>
      </c>
      <c r="F12" s="63">
        <f t="shared" si="5"/>
        <v>412975.31883951911</v>
      </c>
      <c r="G12" s="63">
        <f t="shared" si="5"/>
        <v>409579.19883951911</v>
      </c>
      <c r="H12" s="63">
        <f t="shared" si="5"/>
        <v>390597.50703095819</v>
      </c>
      <c r="I12" s="63">
        <f t="shared" si="5"/>
        <v>377347.21500785393</v>
      </c>
      <c r="J12" s="63">
        <f t="shared" si="5"/>
        <v>363747.19518779177</v>
      </c>
      <c r="K12" s="63">
        <f t="shared" si="5"/>
        <v>349791.515954684</v>
      </c>
      <c r="L12" s="108" t="s">
        <v>209</v>
      </c>
    </row>
    <row r="13" spans="1:18" s="60" customFormat="1" ht="86.45" x14ac:dyDescent="0.3">
      <c r="A13" s="105"/>
      <c r="B13" s="146" t="s">
        <v>210</v>
      </c>
      <c r="C13" s="147"/>
      <c r="D13" s="147"/>
      <c r="E13" s="147"/>
      <c r="F13" s="147"/>
      <c r="G13" s="147"/>
      <c r="H13" s="147"/>
      <c r="I13" s="147"/>
      <c r="J13" s="148"/>
      <c r="K13" s="87">
        <v>194701.25389419202</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6">$K$13*B14</f>
        <v>159070.92443155486</v>
      </c>
      <c r="C15" s="88">
        <f t="shared" si="6"/>
        <v>152451.08179915237</v>
      </c>
      <c r="D15" s="88">
        <f t="shared" si="6"/>
        <v>145831.23916674982</v>
      </c>
      <c r="E15" s="88">
        <f t="shared" si="6"/>
        <v>139211.3965343473</v>
      </c>
      <c r="F15" s="88">
        <f t="shared" si="6"/>
        <v>132591.55390194478</v>
      </c>
      <c r="G15" s="88">
        <f t="shared" si="6"/>
        <v>125971.71126954224</v>
      </c>
      <c r="H15" s="88">
        <f t="shared" si="6"/>
        <v>119546.5698910339</v>
      </c>
      <c r="I15" s="88">
        <f t="shared" si="6"/>
        <v>112926.72725863136</v>
      </c>
      <c r="J15" s="88">
        <f t="shared" si="6"/>
        <v>106306.88462622886</v>
      </c>
      <c r="K15" s="88">
        <f t="shared" si="6"/>
        <v>99492.34073993213</v>
      </c>
      <c r="L15" s="108" t="s">
        <v>211</v>
      </c>
    </row>
    <row r="16" spans="1:18" s="60" customFormat="1" ht="30" x14ac:dyDescent="0.35">
      <c r="A16" s="105" t="s">
        <v>199</v>
      </c>
      <c r="B16" s="82">
        <f>B12/B3</f>
        <v>0.19964358833692142</v>
      </c>
      <c r="C16" s="82">
        <f t="shared" ref="C16:K16" si="7">C12/C3</f>
        <v>0.19273843336869076</v>
      </c>
      <c r="D16" s="82">
        <f t="shared" si="7"/>
        <v>0.19003846192678295</v>
      </c>
      <c r="E16" s="82">
        <f t="shared" si="7"/>
        <v>0.1830541284065994</v>
      </c>
      <c r="F16" s="82">
        <f t="shared" si="7"/>
        <v>0.17543556450276937</v>
      </c>
      <c r="G16" s="82">
        <f t="shared" si="7"/>
        <v>0.1722368371907145</v>
      </c>
      <c r="H16" s="82">
        <f t="shared" si="7"/>
        <v>0.16413998119557568</v>
      </c>
      <c r="I16" s="82">
        <f t="shared" si="7"/>
        <v>0.1569063100884294</v>
      </c>
      <c r="J16" s="82">
        <f t="shared" si="7"/>
        <v>0.1496625917030161</v>
      </c>
      <c r="K16" s="82">
        <f t="shared" si="7"/>
        <v>0.14240893156896092</v>
      </c>
      <c r="L16" s="89" t="s">
        <v>212</v>
      </c>
    </row>
    <row r="17" spans="1:18" s="60" customFormat="1" ht="30.6" thickBot="1" x14ac:dyDescent="0.4">
      <c r="A17" s="105" t="s">
        <v>200</v>
      </c>
      <c r="B17" s="81">
        <f>B15*B16</f>
        <v>31757.490153586874</v>
      </c>
      <c r="C17" s="81">
        <f t="shared" ref="C17:K17" si="8">C15*C16</f>
        <v>29383.182671330753</v>
      </c>
      <c r="D17" s="81">
        <f t="shared" si="8"/>
        <v>27713.544392125965</v>
      </c>
      <c r="E17" s="81">
        <f t="shared" si="8"/>
        <v>25483.220856860436</v>
      </c>
      <c r="F17" s="81">
        <f t="shared" si="8"/>
        <v>23261.274107087054</v>
      </c>
      <c r="G17" s="81">
        <f t="shared" si="8"/>
        <v>21696.96912456784</v>
      </c>
      <c r="H17" s="81">
        <f t="shared" si="8"/>
        <v>19622.371733909877</v>
      </c>
      <c r="I17" s="81">
        <f t="shared" si="8"/>
        <v>17718.916084514305</v>
      </c>
      <c r="J17" s="81">
        <f t="shared" si="8"/>
        <v>15910.163869034928</v>
      </c>
      <c r="K17" s="81">
        <f t="shared" si="8"/>
        <v>14168.597944068737</v>
      </c>
      <c r="L17" s="89" t="s">
        <v>213</v>
      </c>
    </row>
    <row r="18" spans="1:18" ht="43.9" thickBot="1" x14ac:dyDescent="0.35">
      <c r="A18" s="128" t="s">
        <v>201</v>
      </c>
      <c r="B18" s="84">
        <f t="shared" ref="B18:K18" si="9">B12*(B14/$N$7)-B17</f>
        <v>401027.11237721913</v>
      </c>
      <c r="C18" s="84">
        <f t="shared" si="9"/>
        <v>375300.94091712619</v>
      </c>
      <c r="D18" s="84">
        <f t="shared" si="9"/>
        <v>358324.02179487085</v>
      </c>
      <c r="E18" s="84">
        <f t="shared" si="9"/>
        <v>333178.1100745094</v>
      </c>
      <c r="F18" s="84">
        <f t="shared" si="9"/>
        <v>307216.03744369152</v>
      </c>
      <c r="G18" s="84">
        <f t="shared" si="9"/>
        <v>289698.73199078918</v>
      </c>
      <c r="H18" s="84">
        <f t="shared" si="9"/>
        <v>262195.33604165807</v>
      </c>
      <c r="I18" s="84">
        <f t="shared" si="9"/>
        <v>239462.49954951071</v>
      </c>
      <c r="J18" s="84">
        <f t="shared" si="9"/>
        <v>217469.35266743315</v>
      </c>
      <c r="K18" s="84">
        <f t="shared" si="9"/>
        <v>195870.72597231617</v>
      </c>
      <c r="L18" s="93" t="s">
        <v>214</v>
      </c>
      <c r="N18" s="60"/>
      <c r="O18" s="60"/>
      <c r="P18" s="60"/>
      <c r="Q18" s="60"/>
      <c r="R18" s="60"/>
    </row>
    <row r="19" spans="1:18" ht="14.45" x14ac:dyDescent="0.3">
      <c r="A19" s="85"/>
      <c r="B19" s="85"/>
      <c r="C19" s="85"/>
      <c r="D19" s="85"/>
      <c r="E19" s="85"/>
      <c r="F19" s="85"/>
      <c r="G19" s="85"/>
      <c r="H19" s="85"/>
      <c r="I19" s="85"/>
      <c r="J19" s="85"/>
      <c r="K19" s="85"/>
      <c r="N19" s="60"/>
      <c r="O19" s="60"/>
      <c r="P19" s="60"/>
      <c r="Q19" s="60"/>
      <c r="R19" s="60"/>
    </row>
    <row r="23" spans="1:18" x14ac:dyDescent="0.25">
      <c r="N23" s="2"/>
    </row>
    <row r="24" spans="1:18" x14ac:dyDescent="0.25">
      <c r="N24" s="2"/>
    </row>
  </sheetData>
  <mergeCells count="3">
    <mergeCell ref="B1:L1"/>
    <mergeCell ref="N1:O1"/>
    <mergeCell ref="B13:J13"/>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33" customWidth="1"/>
    <col min="2" max="11" width="8" bestFit="1" customWidth="1"/>
    <col min="12" max="12" width="54.28515625" style="3" customWidth="1"/>
    <col min="14" max="14" width="8.7109375" customWidth="1"/>
    <col min="15" max="15" width="41.42578125" customWidth="1"/>
  </cols>
  <sheetData>
    <row r="1" spans="1:18" s="60" customFormat="1" ht="15.6" x14ac:dyDescent="0.3">
      <c r="A1" s="103" t="s">
        <v>30</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58.15" x14ac:dyDescent="0.35">
      <c r="A3" s="105" t="s">
        <v>169</v>
      </c>
      <c r="B3" s="63">
        <f>SUMIFS('Form 1.5a'!J:J, 'Form 1.5a'!$A:$A, "Valley Electric Association")*1000</f>
        <v>12000</v>
      </c>
      <c r="C3" s="63">
        <f>SUMIFS('Form 1.5a'!K:K, 'Form 1.5a'!$A:$A, "Valley Electric Association")*1000</f>
        <v>12000</v>
      </c>
      <c r="D3" s="63">
        <f>SUMIFS('Form 1.5a'!L:L, 'Form 1.5a'!$A:$A, "Valley Electric Association")*1000</f>
        <v>12000</v>
      </c>
      <c r="E3" s="63">
        <f>SUMIFS('Form 1.5a'!M:M, 'Form 1.5a'!$A:$A, "Valley Electric Association")*1000</f>
        <v>12000</v>
      </c>
      <c r="F3" s="63">
        <f>SUMIFS('Form 1.5a'!N:N, 'Form 1.5a'!$A:$A, "Valley Electric Association")*1000</f>
        <v>13000</v>
      </c>
      <c r="G3" s="63">
        <f>SUMIFS('Form 1.5a'!O:O, 'Form 1.5a'!$A:$A, "Valley Electric Association")*1000</f>
        <v>13000</v>
      </c>
      <c r="H3" s="67">
        <f>AVERAGE(E3:G3)*(1+$N$9)</f>
        <v>12844.234643437241</v>
      </c>
      <c r="I3" s="67">
        <f t="shared" ref="I3:K4" si="0">H3*(1+$N$9)</f>
        <v>13024.291861237374</v>
      </c>
      <c r="J3" s="67">
        <f t="shared" si="0"/>
        <v>13206.87321555338</v>
      </c>
      <c r="K3" s="67">
        <f t="shared" si="0"/>
        <v>13392.0140910548</v>
      </c>
      <c r="L3" s="89" t="s">
        <v>218</v>
      </c>
      <c r="N3" s="64">
        <v>0.91839999999999999</v>
      </c>
      <c r="O3" s="9" t="s">
        <v>203</v>
      </c>
    </row>
    <row r="4" spans="1:18" s="60" customFormat="1" ht="57.6" x14ac:dyDescent="0.3">
      <c r="A4" s="105" t="s">
        <v>170</v>
      </c>
      <c r="B4" s="63">
        <f>SUMIFS('Form 1.1c'!J:J, 'Form 1.1c'!$B:$B, "Valley Electric Association, Inc.")*1000</f>
        <v>11000</v>
      </c>
      <c r="C4" s="63">
        <f>SUMIFS('Form 1.1c'!K:K, 'Form 1.1c'!$B:$B, "Valley Electric Association, Inc.")*1000</f>
        <v>11000</v>
      </c>
      <c r="D4" s="63">
        <f>SUMIFS('Form 1.1c'!L:L, 'Form 1.1c'!$B:$B, "Valley Electric Association, Inc.")*1000</f>
        <v>12000</v>
      </c>
      <c r="E4" s="63">
        <f>SUMIFS('Form 1.1c'!M:M, 'Form 1.1c'!$B:$B, "Valley Electric Association, Inc.")*1000</f>
        <v>12000</v>
      </c>
      <c r="F4" s="63">
        <f>SUMIFS('Form 1.1c'!N:N, 'Form 1.1c'!$B:$B, "Valley Electric Association, Inc.")*1000</f>
        <v>12000</v>
      </c>
      <c r="G4" s="63">
        <f>SUMIFS('Form 1.1c'!O:O, 'Form 1.1c'!$B:$B, "Valley Electric Association, Inc.")*1000</f>
        <v>12000</v>
      </c>
      <c r="H4" s="67">
        <f>AVERAGE(E4:G4)*(1+$N$9)</f>
        <v>12168.22229378265</v>
      </c>
      <c r="I4" s="63">
        <f t="shared" si="0"/>
        <v>12338.802815909092</v>
      </c>
      <c r="J4" s="63">
        <f t="shared" si="0"/>
        <v>12511.774625261096</v>
      </c>
      <c r="K4" s="63">
        <f t="shared" si="0"/>
        <v>12687.171244157178</v>
      </c>
      <c r="L4" s="89" t="s">
        <v>222</v>
      </c>
      <c r="N4" s="70">
        <f>0.15</f>
        <v>0.15</v>
      </c>
      <c r="O4" s="89" t="s">
        <v>166</v>
      </c>
    </row>
    <row r="5" spans="1:18" s="60" customFormat="1" ht="28.9" x14ac:dyDescent="0.3">
      <c r="A5" s="105" t="s">
        <v>194</v>
      </c>
      <c r="B5" s="63">
        <f t="shared" ref="B5:C5" si="1">IF(AND(0&lt;=(B3-B4)/B3,(B3-B4)/B3&lt;$N$4),B4,B3*(1-$N$5))</f>
        <v>11000</v>
      </c>
      <c r="C5" s="63">
        <f t="shared" si="1"/>
        <v>11000</v>
      </c>
      <c r="D5" s="63">
        <f>IF(AND(0&lt;=(D3-D4)/D3,(D3-D4)/D3&lt;$N$4),D4,D3*(1-$N$5))</f>
        <v>12000</v>
      </c>
      <c r="E5" s="63">
        <f t="shared" ref="E5" si="2">IF(AND(0&lt;=(E3-E4)/E3,(E3-E4)/E3&lt;$N$4),E4,E3*(1-$N$5))</f>
        <v>12000</v>
      </c>
      <c r="F5" s="63">
        <f t="shared" ref="F5:G5" si="3">IF(AND(0&lt;=(F3-F4)/F3,(F3-F4)/F3&lt;$N$4),F4,F3*(1-$N$5))</f>
        <v>12000</v>
      </c>
      <c r="G5" s="63">
        <f t="shared" si="3"/>
        <v>12000</v>
      </c>
      <c r="H5" s="63">
        <f t="shared" ref="H5" si="4">IF(AND(0&lt;=(H3-H4)/H3,(H3-H4)/H3&lt;$N$4),H4,H3*(1-$N$5))</f>
        <v>12168.22229378265</v>
      </c>
      <c r="I5" s="63">
        <f t="shared" ref="I5:J5" si="5">IF(AND(0&lt;=(I3-I4)/I3,(I3-I4)/I3&lt;$N$4),I4,I3*(1-$N$5))</f>
        <v>12338.802815909092</v>
      </c>
      <c r="J5" s="63">
        <f t="shared" si="5"/>
        <v>12511.774625261096</v>
      </c>
      <c r="K5" s="63">
        <f t="shared" ref="K5" si="6">IF(AND(0&lt;=(K3-K4)/K3,(K3-K4)/K3&lt;$N$4),K4,K3*(1-$N$5))</f>
        <v>12687.171244157178</v>
      </c>
      <c r="L5" s="89" t="s">
        <v>223</v>
      </c>
      <c r="N5" s="70">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14.45" x14ac:dyDescent="0.3">
      <c r="A8" s="105" t="s">
        <v>173</v>
      </c>
      <c r="B8" s="63">
        <v>1437.333333333333</v>
      </c>
      <c r="C8" s="67">
        <f>B8</f>
        <v>1437.333333333333</v>
      </c>
      <c r="D8" s="67">
        <f t="shared" ref="D8:K8" si="7">C8</f>
        <v>1437.333333333333</v>
      </c>
      <c r="E8" s="67">
        <f t="shared" si="7"/>
        <v>1437.333333333333</v>
      </c>
      <c r="F8" s="67">
        <f t="shared" si="7"/>
        <v>1437.333333333333</v>
      </c>
      <c r="G8" s="67">
        <f t="shared" si="7"/>
        <v>1437.333333333333</v>
      </c>
      <c r="H8" s="67">
        <f t="shared" si="7"/>
        <v>1437.333333333333</v>
      </c>
      <c r="I8" s="67">
        <f t="shared" si="7"/>
        <v>1437.333333333333</v>
      </c>
      <c r="J8" s="67">
        <f t="shared" si="7"/>
        <v>1437.333333333333</v>
      </c>
      <c r="K8" s="67">
        <f t="shared" si="7"/>
        <v>1437.333333333333</v>
      </c>
      <c r="L8" s="89" t="s">
        <v>258</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1.4018524481887562E-2</v>
      </c>
      <c r="O9" s="89" t="s">
        <v>206</v>
      </c>
    </row>
    <row r="10" spans="1:18" s="60" customFormat="1" ht="15.6" x14ac:dyDescent="0.3">
      <c r="A10" s="105" t="s">
        <v>174</v>
      </c>
      <c r="B10" s="63">
        <f t="shared" ref="B10:K10" si="8">B5*B9</f>
        <v>3740.0000000000005</v>
      </c>
      <c r="C10" s="63">
        <f t="shared" si="8"/>
        <v>3960</v>
      </c>
      <c r="D10" s="63">
        <f t="shared" si="8"/>
        <v>4440</v>
      </c>
      <c r="E10" s="63">
        <f t="shared" si="8"/>
        <v>4680</v>
      </c>
      <c r="F10" s="63">
        <f t="shared" si="8"/>
        <v>4920</v>
      </c>
      <c r="G10" s="63">
        <f t="shared" si="8"/>
        <v>5040</v>
      </c>
      <c r="H10" s="63">
        <f t="shared" si="8"/>
        <v>5354.0178092643664</v>
      </c>
      <c r="I10" s="63">
        <f t="shared" si="8"/>
        <v>5675.8492953181822</v>
      </c>
      <c r="J10" s="63">
        <f t="shared" si="8"/>
        <v>6005.6518201253257</v>
      </c>
      <c r="K10" s="63">
        <f t="shared" si="8"/>
        <v>6343.585622078589</v>
      </c>
      <c r="L10" s="89" t="s">
        <v>207</v>
      </c>
      <c r="N10" s="68"/>
      <c r="O10" s="62"/>
    </row>
    <row r="11" spans="1:18" s="60" customFormat="1" ht="28.9" x14ac:dyDescent="0.3">
      <c r="A11" s="105" t="s">
        <v>175</v>
      </c>
      <c r="B11" s="63">
        <f>MAX(B3-SUM(B6:B8,B10), B3*$N$6)</f>
        <v>6822.6666666666661</v>
      </c>
      <c r="C11" s="63">
        <f t="shared" ref="C11:K11" si="9">MAX(C3-SUM(C6:C8,C10), C3*$N$6)</f>
        <v>6602.666666666667</v>
      </c>
      <c r="D11" s="63">
        <f t="shared" si="9"/>
        <v>6122.666666666667</v>
      </c>
      <c r="E11" s="63">
        <f t="shared" si="9"/>
        <v>5882.666666666667</v>
      </c>
      <c r="F11" s="63">
        <f t="shared" si="9"/>
        <v>6642.666666666667</v>
      </c>
      <c r="G11" s="63">
        <f t="shared" si="9"/>
        <v>6522.666666666667</v>
      </c>
      <c r="H11" s="63">
        <f t="shared" si="9"/>
        <v>6052.8835008395417</v>
      </c>
      <c r="I11" s="63">
        <f t="shared" si="9"/>
        <v>5911.109232585859</v>
      </c>
      <c r="J11" s="63">
        <f t="shared" si="9"/>
        <v>5763.8880620947211</v>
      </c>
      <c r="K11" s="63">
        <f t="shared" si="9"/>
        <v>5611.0951356428777</v>
      </c>
      <c r="L11" s="89" t="s">
        <v>208</v>
      </c>
      <c r="N11" s="68"/>
      <c r="O11" s="62"/>
    </row>
    <row r="12" spans="1:18" s="60" customFormat="1" ht="43.9" x14ac:dyDescent="0.35">
      <c r="A12" s="105" t="s">
        <v>197</v>
      </c>
      <c r="B12" s="63">
        <f t="shared" ref="B12:K12" si="10">B6*$N$3+B11*$N$2</f>
        <v>2970.5890666666664</v>
      </c>
      <c r="C12" s="63">
        <f t="shared" si="10"/>
        <v>2874.8010666666669</v>
      </c>
      <c r="D12" s="63">
        <f t="shared" si="10"/>
        <v>2665.8090666666667</v>
      </c>
      <c r="E12" s="63">
        <f t="shared" si="10"/>
        <v>2561.3130666666671</v>
      </c>
      <c r="F12" s="63">
        <f t="shared" si="10"/>
        <v>2892.2170666666671</v>
      </c>
      <c r="G12" s="63">
        <f t="shared" si="10"/>
        <v>2839.969066666667</v>
      </c>
      <c r="H12" s="63">
        <f t="shared" si="10"/>
        <v>2635.4254762655364</v>
      </c>
      <c r="I12" s="63">
        <f t="shared" si="10"/>
        <v>2573.6969598678829</v>
      </c>
      <c r="J12" s="63">
        <f t="shared" si="10"/>
        <v>2509.5968622360415</v>
      </c>
      <c r="K12" s="63">
        <f t="shared" si="10"/>
        <v>2443.070822058909</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11">$K$13*B14</f>
        <v>0</v>
      </c>
      <c r="C15" s="88">
        <f t="shared" si="11"/>
        <v>0</v>
      </c>
      <c r="D15" s="88">
        <f t="shared" si="11"/>
        <v>0</v>
      </c>
      <c r="E15" s="88">
        <f t="shared" si="11"/>
        <v>0</v>
      </c>
      <c r="F15" s="88">
        <f t="shared" si="11"/>
        <v>0</v>
      </c>
      <c r="G15" s="88">
        <f t="shared" si="11"/>
        <v>0</v>
      </c>
      <c r="H15" s="88">
        <f t="shared" si="11"/>
        <v>0</v>
      </c>
      <c r="I15" s="88">
        <f t="shared" si="11"/>
        <v>0</v>
      </c>
      <c r="J15" s="88">
        <f t="shared" si="11"/>
        <v>0</v>
      </c>
      <c r="K15" s="88">
        <f t="shared" si="11"/>
        <v>0</v>
      </c>
      <c r="L15" s="108" t="s">
        <v>211</v>
      </c>
    </row>
    <row r="16" spans="1:18" s="60" customFormat="1" ht="30" x14ac:dyDescent="0.35">
      <c r="A16" s="105" t="s">
        <v>199</v>
      </c>
      <c r="B16" s="82">
        <f t="shared" ref="B16:K16" si="12">B12/B3</f>
        <v>0.24754908888888888</v>
      </c>
      <c r="C16" s="82">
        <f t="shared" si="12"/>
        <v>0.23956675555555557</v>
      </c>
      <c r="D16" s="82">
        <f t="shared" si="12"/>
        <v>0.22215075555555555</v>
      </c>
      <c r="E16" s="82">
        <f t="shared" si="12"/>
        <v>0.21344275555555559</v>
      </c>
      <c r="F16" s="82">
        <f t="shared" si="12"/>
        <v>0.22247823589743593</v>
      </c>
      <c r="G16" s="82">
        <f t="shared" si="12"/>
        <v>0.218459158974359</v>
      </c>
      <c r="H16" s="82">
        <f t="shared" si="12"/>
        <v>0.20518353560382102</v>
      </c>
      <c r="I16" s="82">
        <f t="shared" si="12"/>
        <v>0.19760743902919331</v>
      </c>
      <c r="J16" s="82">
        <f t="shared" si="12"/>
        <v>0.19002203029257195</v>
      </c>
      <c r="K16" s="82">
        <f t="shared" si="12"/>
        <v>0.18242743813201026</v>
      </c>
      <c r="L16" s="89" t="s">
        <v>212</v>
      </c>
    </row>
    <row r="17" spans="1:18" s="60" customFormat="1" ht="30.6" thickBot="1" x14ac:dyDescent="0.4">
      <c r="A17" s="105" t="s">
        <v>200</v>
      </c>
      <c r="B17" s="81">
        <f>B15*B16</f>
        <v>0</v>
      </c>
      <c r="C17" s="81">
        <f t="shared" ref="C17:K17" si="13">C15*C16</f>
        <v>0</v>
      </c>
      <c r="D17" s="81">
        <f t="shared" si="13"/>
        <v>0</v>
      </c>
      <c r="E17" s="81">
        <f t="shared" si="13"/>
        <v>0</v>
      </c>
      <c r="F17" s="81">
        <f t="shared" si="13"/>
        <v>0</v>
      </c>
      <c r="G17" s="81">
        <f t="shared" si="13"/>
        <v>0</v>
      </c>
      <c r="H17" s="81">
        <f t="shared" si="13"/>
        <v>0</v>
      </c>
      <c r="I17" s="81">
        <f t="shared" si="13"/>
        <v>0</v>
      </c>
      <c r="J17" s="81">
        <f t="shared" si="13"/>
        <v>0</v>
      </c>
      <c r="K17" s="81">
        <f t="shared" si="13"/>
        <v>0</v>
      </c>
      <c r="L17" s="89" t="s">
        <v>213</v>
      </c>
    </row>
    <row r="18" spans="1:18" ht="43.9" thickBot="1" x14ac:dyDescent="0.35">
      <c r="A18" s="128" t="s">
        <v>201</v>
      </c>
      <c r="B18" s="84">
        <f t="shared" ref="B18:K18" si="14">B12*(B14/$N$7)-B17</f>
        <v>2851.9051321582451</v>
      </c>
      <c r="C18" s="84">
        <f t="shared" si="14"/>
        <v>2645.0872329024678</v>
      </c>
      <c r="D18" s="84">
        <f t="shared" si="14"/>
        <v>2346.2878859381121</v>
      </c>
      <c r="E18" s="84">
        <f t="shared" si="14"/>
        <v>2151.9845389737566</v>
      </c>
      <c r="F18" s="84">
        <f t="shared" si="14"/>
        <v>2314.4533753231499</v>
      </c>
      <c r="G18" s="84">
        <f t="shared" si="14"/>
        <v>2159.1774220133179</v>
      </c>
      <c r="H18" s="84">
        <f t="shared" si="14"/>
        <v>1901.4703201257805</v>
      </c>
      <c r="I18" s="84">
        <f t="shared" si="14"/>
        <v>1754.1060361026698</v>
      </c>
      <c r="J18" s="84">
        <f t="shared" si="14"/>
        <v>1610.1526284146637</v>
      </c>
      <c r="K18" s="84">
        <f t="shared" si="14"/>
        <v>1466.990822646419</v>
      </c>
      <c r="L18" s="93" t="s">
        <v>214</v>
      </c>
      <c r="N18" s="60"/>
      <c r="O18" s="60"/>
      <c r="P18" s="60"/>
      <c r="Q18" s="60"/>
      <c r="R18" s="60"/>
    </row>
    <row r="19" spans="1:18" ht="14.45" x14ac:dyDescent="0.3">
      <c r="A19" s="85"/>
      <c r="B19" s="85"/>
      <c r="C19" s="85"/>
      <c r="D19" s="85"/>
      <c r="E19" s="85"/>
      <c r="F19" s="85"/>
      <c r="G19" s="85"/>
      <c r="H19" s="85"/>
      <c r="I19" s="85"/>
      <c r="J19" s="85"/>
      <c r="K19" s="85"/>
    </row>
  </sheetData>
  <mergeCells count="3">
    <mergeCell ref="B1:L1"/>
    <mergeCell ref="N1:O1"/>
    <mergeCell ref="B13:J13"/>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heetViews>
  <sheetFormatPr defaultRowHeight="15" x14ac:dyDescent="0.25"/>
  <cols>
    <col min="1" max="1" width="33.140625" bestFit="1" customWidth="1"/>
    <col min="2" max="11" width="10.5703125" bestFit="1" customWidth="1"/>
    <col min="12" max="12" width="49.140625" style="3" bestFit="1" customWidth="1"/>
    <col min="14" max="14" width="7" bestFit="1" customWidth="1"/>
    <col min="15" max="15" width="40.85546875" bestFit="1" customWidth="1"/>
  </cols>
  <sheetData>
    <row r="1" spans="1:18" s="60" customFormat="1" ht="15.6" x14ac:dyDescent="0.3">
      <c r="A1" s="103" t="s">
        <v>27</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58.15" x14ac:dyDescent="0.35">
      <c r="A3" s="105" t="s">
        <v>169</v>
      </c>
      <c r="B3" s="63">
        <f>SUMIFS('Form 1.5a'!J:J, 'Form 1.5a'!$B:$B, "WAPA*")*1000</f>
        <v>2166000</v>
      </c>
      <c r="C3" s="63">
        <f>SUMIFS('Form 1.5a'!K:K, 'Form 1.5a'!$B:$B, "WAPA*")*1000</f>
        <v>2183000</v>
      </c>
      <c r="D3" s="63">
        <f>SUMIFS('Form 1.5a'!L:L, 'Form 1.5a'!$B:$B, "WAPA*")*1000</f>
        <v>2201000</v>
      </c>
      <c r="E3" s="63">
        <f>SUMIFS('Form 1.5a'!M:M, 'Form 1.5a'!$B:$B, "WAPA*")*1000</f>
        <v>2213000</v>
      </c>
      <c r="F3" s="63">
        <f>SUMIFS('Form 1.5a'!N:N, 'Form 1.5a'!$B:$B, "WAPA*")*1000</f>
        <v>2225000</v>
      </c>
      <c r="G3" s="63">
        <f>SUMIFS('Form 1.5a'!O:O, 'Form 1.5a'!$B:$B, "WAPA*")*1000</f>
        <v>2236000</v>
      </c>
      <c r="H3" s="67">
        <f>AVERAGE(E3:G3)*(1+$N$9)</f>
        <v>2236974.1349833328</v>
      </c>
      <c r="I3" s="67">
        <f t="shared" ref="I3:K4" si="0">H3*(1+$N$9)</f>
        <v>2249349.6916022315</v>
      </c>
      <c r="J3" s="67">
        <f t="shared" si="0"/>
        <v>2261793.7132065906</v>
      </c>
      <c r="K3" s="67">
        <f t="shared" si="0"/>
        <v>2274306.5785635547</v>
      </c>
      <c r="L3" s="89" t="s">
        <v>218</v>
      </c>
      <c r="N3" s="64">
        <v>0.91839999999999999</v>
      </c>
      <c r="O3" s="9" t="s">
        <v>203</v>
      </c>
    </row>
    <row r="4" spans="1:18" s="60" customFormat="1" ht="57.6" x14ac:dyDescent="0.3">
      <c r="A4" s="105" t="s">
        <v>170</v>
      </c>
      <c r="B4" s="63">
        <f>SUMIFS('Form 1.1c'!J:J, 'Form 1.1c'!$B:$B, "WAPA*")*1000</f>
        <v>1991000</v>
      </c>
      <c r="C4" s="63">
        <f>SUMIFS('Form 1.1c'!K:K, 'Form 1.1c'!$B:$B, "WAPA*")*1000</f>
        <v>2009000</v>
      </c>
      <c r="D4" s="63">
        <f>SUMIFS('Form 1.1c'!L:L, 'Form 1.1c'!$B:$B, "WAPA*")*1000</f>
        <v>2025000</v>
      </c>
      <c r="E4" s="63">
        <f>SUMIFS('Form 1.1c'!M:M, 'Form 1.1c'!$B:$B, "WAPA*")*1000</f>
        <v>2037000</v>
      </c>
      <c r="F4" s="63">
        <f>SUMIFS('Form 1.1c'!N:N, 'Form 1.1c'!$B:$B, "WAPA*")*1000</f>
        <v>2048000</v>
      </c>
      <c r="G4" s="63">
        <f>SUMIFS('Form 1.1c'!O:O, 'Form 1.1c'!$B:$B, "WAPA*")*1000</f>
        <v>2058000</v>
      </c>
      <c r="H4" s="67">
        <f>AVERAGE(E4:G4)*(1+$N$9)</f>
        <v>2058994.9222658998</v>
      </c>
      <c r="I4" s="63">
        <f t="shared" si="0"/>
        <v>2070385.8488930941</v>
      </c>
      <c r="J4" s="63">
        <f t="shared" si="0"/>
        <v>2081839.7932616256</v>
      </c>
      <c r="K4" s="63">
        <f t="shared" si="0"/>
        <v>2093357.1040029845</v>
      </c>
      <c r="L4" s="89" t="s">
        <v>222</v>
      </c>
      <c r="N4" s="70">
        <f>0.15</f>
        <v>0.15</v>
      </c>
      <c r="O4" s="89" t="s">
        <v>166</v>
      </c>
    </row>
    <row r="5" spans="1:18" s="60" customFormat="1" ht="28.9" x14ac:dyDescent="0.3">
      <c r="A5" s="105" t="s">
        <v>194</v>
      </c>
      <c r="B5" s="63">
        <f t="shared" ref="B5:K5" si="1">IF(AND(0&lt;(B3-B4)/B3,(B3-B4)/B3&lt;$N$4),B4,B3*(1-$N$5))</f>
        <v>1991000</v>
      </c>
      <c r="C5" s="63">
        <f t="shared" si="1"/>
        <v>2009000</v>
      </c>
      <c r="D5" s="63">
        <f t="shared" si="1"/>
        <v>2025000</v>
      </c>
      <c r="E5" s="63">
        <f t="shared" si="1"/>
        <v>2037000</v>
      </c>
      <c r="F5" s="63">
        <f t="shared" si="1"/>
        <v>2048000</v>
      </c>
      <c r="G5" s="63">
        <f t="shared" si="1"/>
        <v>2058000</v>
      </c>
      <c r="H5" s="63">
        <f t="shared" si="1"/>
        <v>2058994.9222658998</v>
      </c>
      <c r="I5" s="63">
        <f t="shared" si="1"/>
        <v>2070385.8488930941</v>
      </c>
      <c r="J5" s="63">
        <f t="shared" si="1"/>
        <v>2081839.7932616256</v>
      </c>
      <c r="K5" s="63">
        <f t="shared" si="1"/>
        <v>2093357.1040029845</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244</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245</v>
      </c>
      <c r="N7" s="86">
        <v>0.85099999999999998</v>
      </c>
      <c r="O7" s="89" t="s">
        <v>168</v>
      </c>
    </row>
    <row r="8" spans="1:18" s="60" customFormat="1" ht="14.45" x14ac:dyDescent="0.3">
      <c r="A8" s="105" t="s">
        <v>173</v>
      </c>
      <c r="B8" s="67">
        <v>1053126.2303909999</v>
      </c>
      <c r="C8" s="63">
        <f>B8</f>
        <v>1053126.2303909999</v>
      </c>
      <c r="D8" s="63">
        <f t="shared" ref="D8:K8" si="2">C8</f>
        <v>1053126.2303909999</v>
      </c>
      <c r="E8" s="63">
        <f t="shared" si="2"/>
        <v>1053126.2303909999</v>
      </c>
      <c r="F8" s="63">
        <f t="shared" si="2"/>
        <v>1053126.2303909999</v>
      </c>
      <c r="G8" s="63">
        <f t="shared" si="2"/>
        <v>1053126.2303909999</v>
      </c>
      <c r="H8" s="63">
        <f t="shared" si="2"/>
        <v>1053126.2303909999</v>
      </c>
      <c r="I8" s="63">
        <f t="shared" si="2"/>
        <v>1053126.2303909999</v>
      </c>
      <c r="J8" s="63">
        <f t="shared" si="2"/>
        <v>1053126.2303909999</v>
      </c>
      <c r="K8" s="63">
        <f t="shared" si="2"/>
        <v>1053126.2303909999</v>
      </c>
      <c r="L8" s="89" t="s">
        <v>257</v>
      </c>
      <c r="O8" s="107"/>
    </row>
    <row r="9" spans="1:18" s="60" customFormat="1" ht="28.9" x14ac:dyDescent="0.3">
      <c r="A9" s="105" t="s">
        <v>153</v>
      </c>
      <c r="B9" s="59">
        <v>0.34</v>
      </c>
      <c r="C9" s="59">
        <v>0.36</v>
      </c>
      <c r="D9" s="59">
        <v>0.37</v>
      </c>
      <c r="E9" s="59">
        <v>0.39</v>
      </c>
      <c r="F9" s="59">
        <v>0.41</v>
      </c>
      <c r="G9" s="59">
        <v>0.42</v>
      </c>
      <c r="H9" s="59">
        <v>0.44</v>
      </c>
      <c r="I9" s="59">
        <v>0.46</v>
      </c>
      <c r="J9" s="59">
        <v>0.48</v>
      </c>
      <c r="K9" s="59">
        <v>0.5</v>
      </c>
      <c r="L9" s="89" t="s">
        <v>248</v>
      </c>
      <c r="N9" s="66">
        <v>5.5322752397361499E-3</v>
      </c>
      <c r="O9" s="89" t="s">
        <v>205</v>
      </c>
    </row>
    <row r="10" spans="1:18" s="60" customFormat="1" ht="14.45" x14ac:dyDescent="0.3">
      <c r="A10" s="105" t="s">
        <v>174</v>
      </c>
      <c r="B10" s="63">
        <f>B5*B9</f>
        <v>676940</v>
      </c>
      <c r="C10" s="63">
        <f t="shared" ref="C10:K10" si="3">C5*C9</f>
        <v>723240</v>
      </c>
      <c r="D10" s="63">
        <f t="shared" si="3"/>
        <v>749250</v>
      </c>
      <c r="E10" s="63">
        <f t="shared" si="3"/>
        <v>794430</v>
      </c>
      <c r="F10" s="63">
        <f t="shared" si="3"/>
        <v>839680</v>
      </c>
      <c r="G10" s="63">
        <f t="shared" si="3"/>
        <v>864360</v>
      </c>
      <c r="H10" s="63">
        <f t="shared" si="3"/>
        <v>905957.76579699595</v>
      </c>
      <c r="I10" s="63">
        <f t="shared" si="3"/>
        <v>952377.49049082329</v>
      </c>
      <c r="J10" s="63">
        <f t="shared" si="3"/>
        <v>999283.1007655802</v>
      </c>
      <c r="K10" s="63">
        <f t="shared" si="3"/>
        <v>1046678.5520014922</v>
      </c>
      <c r="L10" s="89" t="s">
        <v>207</v>
      </c>
    </row>
    <row r="11" spans="1:18" s="60" customFormat="1" ht="28.9" x14ac:dyDescent="0.3">
      <c r="A11" s="105" t="s">
        <v>175</v>
      </c>
      <c r="B11" s="63">
        <f t="shared" ref="B11:K11" si="4">MAX(B3-SUM(B6:B8,B10), B3*$N$6)</f>
        <v>435933.76960900007</v>
      </c>
      <c r="C11" s="63">
        <f t="shared" si="4"/>
        <v>406633.76960900007</v>
      </c>
      <c r="D11" s="63">
        <f t="shared" si="4"/>
        <v>398623.76960900007</v>
      </c>
      <c r="E11" s="63">
        <f t="shared" si="4"/>
        <v>365443.76960900007</v>
      </c>
      <c r="F11" s="63">
        <f t="shared" si="4"/>
        <v>332193.76960900007</v>
      </c>
      <c r="G11" s="63">
        <f t="shared" si="4"/>
        <v>318513.76960900007</v>
      </c>
      <c r="H11" s="63">
        <f t="shared" si="4"/>
        <v>277890.13879533694</v>
      </c>
      <c r="I11" s="63">
        <f t="shared" si="4"/>
        <v>243845.97072040825</v>
      </c>
      <c r="J11" s="63">
        <f t="shared" si="4"/>
        <v>209384.38205001038</v>
      </c>
      <c r="K11" s="63">
        <f t="shared" si="4"/>
        <v>174501.79617106263</v>
      </c>
      <c r="L11" s="89" t="s">
        <v>208</v>
      </c>
    </row>
    <row r="12" spans="1:18" s="60" customFormat="1" ht="43.9" x14ac:dyDescent="0.35">
      <c r="A12" s="105" t="s">
        <v>197</v>
      </c>
      <c r="B12" s="63">
        <f t="shared" ref="B12:K12" si="5">B6*$N$3+B11*$N$2</f>
        <v>189805.56328775865</v>
      </c>
      <c r="C12" s="63">
        <f t="shared" si="5"/>
        <v>177048.34328775865</v>
      </c>
      <c r="D12" s="63">
        <f t="shared" si="5"/>
        <v>173560.78928775864</v>
      </c>
      <c r="E12" s="63">
        <f t="shared" si="5"/>
        <v>159114.21728775863</v>
      </c>
      <c r="F12" s="63">
        <f t="shared" si="5"/>
        <v>144637.16728775864</v>
      </c>
      <c r="G12" s="63">
        <f t="shared" si="5"/>
        <v>138680.89528775864</v>
      </c>
      <c r="H12" s="63">
        <f t="shared" si="5"/>
        <v>120993.3664314897</v>
      </c>
      <c r="I12" s="63">
        <f t="shared" si="5"/>
        <v>106170.53565166575</v>
      </c>
      <c r="J12" s="63">
        <f t="shared" si="5"/>
        <v>91165.959944574526</v>
      </c>
      <c r="K12" s="63">
        <f t="shared" si="5"/>
        <v>75978.082052880665</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8" s="60" customFormat="1" ht="30" x14ac:dyDescent="0.35">
      <c r="A16" s="105" t="s">
        <v>199</v>
      </c>
      <c r="B16" s="82">
        <f t="shared" ref="B16:K16" si="7">B12/B3</f>
        <v>8.7629530603766687E-2</v>
      </c>
      <c r="C16" s="82">
        <f t="shared" si="7"/>
        <v>8.1103226425908684E-2</v>
      </c>
      <c r="D16" s="82">
        <f t="shared" si="7"/>
        <v>7.8855424483306971E-2</v>
      </c>
      <c r="E16" s="82">
        <f t="shared" si="7"/>
        <v>7.1899781874269597E-2</v>
      </c>
      <c r="F16" s="82">
        <f t="shared" si="7"/>
        <v>6.5005468443936468E-2</v>
      </c>
      <c r="G16" s="82">
        <f t="shared" si="7"/>
        <v>6.2021867302217641E-2</v>
      </c>
      <c r="H16" s="82">
        <f t="shared" si="7"/>
        <v>5.4087959507136275E-2</v>
      </c>
      <c r="I16" s="82">
        <f t="shared" si="7"/>
        <v>4.7200546917202345E-2</v>
      </c>
      <c r="J16" s="82">
        <f t="shared" si="7"/>
        <v>4.0306929589669215E-2</v>
      </c>
      <c r="K16" s="82">
        <f t="shared" si="7"/>
        <v>3.340714166199537E-2</v>
      </c>
      <c r="L16" s="89" t="s">
        <v>212</v>
      </c>
    </row>
    <row r="17" spans="1:18"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8" ht="43.9" thickBot="1" x14ac:dyDescent="0.35">
      <c r="A18" s="128" t="s">
        <v>201</v>
      </c>
      <c r="B18" s="84">
        <f t="shared" ref="B18:K18" si="9">B12*(B14/$N$7)-B17</f>
        <v>182222.26228683762</v>
      </c>
      <c r="C18" s="84">
        <f t="shared" si="9"/>
        <v>162901.11961729144</v>
      </c>
      <c r="D18" s="84">
        <f t="shared" si="9"/>
        <v>152757.9684800602</v>
      </c>
      <c r="E18" s="84">
        <f t="shared" si="9"/>
        <v>133685.85823824609</v>
      </c>
      <c r="F18" s="84">
        <f t="shared" si="9"/>
        <v>115743.72611394084</v>
      </c>
      <c r="G18" s="84">
        <f t="shared" si="9"/>
        <v>105436.59136448865</v>
      </c>
      <c r="H18" s="84">
        <f t="shared" si="9"/>
        <v>87297.211502860955</v>
      </c>
      <c r="I18" s="84">
        <f t="shared" si="9"/>
        <v>72360.64709514234</v>
      </c>
      <c r="J18" s="84">
        <f t="shared" si="9"/>
        <v>58491.908495578966</v>
      </c>
      <c r="K18" s="84">
        <f t="shared" si="9"/>
        <v>45622.561608721531</v>
      </c>
      <c r="L18" s="93" t="s">
        <v>214</v>
      </c>
      <c r="N18" s="60"/>
      <c r="O18" s="60"/>
      <c r="P18" s="60"/>
      <c r="Q18" s="60"/>
      <c r="R18" s="60"/>
    </row>
    <row r="19" spans="1:18" ht="14.45" x14ac:dyDescent="0.3">
      <c r="A19" s="85"/>
      <c r="B19" s="85"/>
      <c r="C19" s="85"/>
      <c r="D19" s="85"/>
      <c r="E19" s="85"/>
      <c r="F19" s="85"/>
      <c r="G19" s="85"/>
      <c r="H19" s="85"/>
      <c r="I19" s="85"/>
      <c r="J19" s="85"/>
      <c r="K19" s="85"/>
      <c r="N19" s="60"/>
      <c r="O19" s="60"/>
      <c r="P19" s="60"/>
      <c r="Q19" s="60"/>
      <c r="R19" s="60"/>
    </row>
    <row r="20" spans="1:18" ht="14.45" x14ac:dyDescent="0.3">
      <c r="A20" s="85"/>
      <c r="B20" s="85"/>
      <c r="C20" s="85"/>
      <c r="D20" s="85"/>
      <c r="E20" s="85"/>
      <c r="F20" s="85"/>
      <c r="G20" s="85"/>
      <c r="H20" s="85"/>
      <c r="I20" s="85"/>
      <c r="J20" s="85"/>
      <c r="K20" s="85"/>
      <c r="N20" s="60"/>
      <c r="O20" s="60"/>
      <c r="P20" s="60"/>
      <c r="Q20" s="60"/>
      <c r="R20" s="60"/>
    </row>
  </sheetData>
  <mergeCells count="3">
    <mergeCell ref="B1:L1"/>
    <mergeCell ref="N1:O1"/>
    <mergeCell ref="B13:J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heetViews>
  <sheetFormatPr defaultRowHeight="15" x14ac:dyDescent="0.25"/>
  <cols>
    <col min="1" max="1" width="33.42578125" customWidth="1"/>
    <col min="2" max="11" width="8" bestFit="1" customWidth="1"/>
    <col min="12" max="12" width="54.85546875" style="3" customWidth="1"/>
    <col min="14" max="14" width="8.7109375" customWidth="1"/>
    <col min="15" max="15" width="55" customWidth="1"/>
  </cols>
  <sheetData>
    <row r="1" spans="1:18" s="60" customFormat="1" ht="15.6" x14ac:dyDescent="0.3">
      <c r="A1" s="103" t="s">
        <v>31</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v>55631.653653297515</v>
      </c>
      <c r="C3" s="67">
        <f t="shared" ref="C3:G3" si="0">B3*(1+$N$9)</f>
        <v>55860.091162142853</v>
      </c>
      <c r="D3" s="67">
        <f t="shared" si="0"/>
        <v>56089.466692636313</v>
      </c>
      <c r="E3" s="67">
        <f t="shared" si="0"/>
        <v>56319.784096529809</v>
      </c>
      <c r="F3" s="67">
        <f t="shared" si="0"/>
        <v>56551.047241391512</v>
      </c>
      <c r="G3" s="67">
        <f t="shared" si="0"/>
        <v>56783.260010670798</v>
      </c>
      <c r="H3" s="67">
        <f t="shared" ref="H3:K4" si="1">G3*(1+$N$9)</f>
        <v>57016.426303763466</v>
      </c>
      <c r="I3" s="67">
        <f t="shared" si="1"/>
        <v>57250.550036077213</v>
      </c>
      <c r="J3" s="67">
        <f t="shared" si="1"/>
        <v>57485.635139097365</v>
      </c>
      <c r="K3" s="67">
        <f t="shared" si="1"/>
        <v>57721.685560452926</v>
      </c>
      <c r="L3" s="89" t="s">
        <v>219</v>
      </c>
      <c r="N3" s="64">
        <v>0.91839999999999999</v>
      </c>
      <c r="O3" s="9" t="s">
        <v>203</v>
      </c>
    </row>
    <row r="4" spans="1:18" s="60" customFormat="1" ht="57.6" x14ac:dyDescent="0.3">
      <c r="A4" s="105" t="s">
        <v>170</v>
      </c>
      <c r="B4" s="63">
        <f>SUMIFS('Form 1.1c'!J:J, 'Form 1.1c'!$B:$B, "Anza Electric Cooperative, Inc.")*1000</f>
        <v>51000</v>
      </c>
      <c r="C4" s="63">
        <f>SUMIFS('Form 1.1c'!K:K, 'Form 1.1c'!$B:$B, "Anza Electric Cooperative, Inc.")*1000</f>
        <v>51000</v>
      </c>
      <c r="D4" s="63">
        <f>SUMIFS('Form 1.1c'!L:L, 'Form 1.1c'!$B:$B, "Anza Electric Cooperative, Inc.")*1000</f>
        <v>51000</v>
      </c>
      <c r="E4" s="63">
        <f>SUMIFS('Form 1.1c'!M:M, 'Form 1.1c'!$B:$B, "Anza Electric Cooperative, Inc.")*1000</f>
        <v>51000</v>
      </c>
      <c r="F4" s="63">
        <f>SUMIFS('Form 1.1c'!N:N, 'Form 1.1c'!$B:$B, "Anza Electric Cooperative, Inc.")*1000</f>
        <v>51000</v>
      </c>
      <c r="G4" s="63">
        <f>SUMIFS('Form 1.1c'!O:O, 'Form 1.1c'!$B:$B, "Anza Electric Cooperative, Inc.")*1000</f>
        <v>51000</v>
      </c>
      <c r="H4" s="67">
        <f>AVERAGE(E4:G4)*(1+$N$9)</f>
        <v>51209.418778447936</v>
      </c>
      <c r="I4" s="63">
        <f t="shared" si="1"/>
        <v>51419.697482871692</v>
      </c>
      <c r="J4" s="63">
        <f t="shared" si="1"/>
        <v>51630.839644342777</v>
      </c>
      <c r="K4" s="63">
        <f t="shared" si="1"/>
        <v>51842.84880843218</v>
      </c>
      <c r="L4" s="89" t="s">
        <v>222</v>
      </c>
      <c r="N4" s="70">
        <f>0.15</f>
        <v>0.15</v>
      </c>
      <c r="O4" s="89" t="s">
        <v>166</v>
      </c>
    </row>
    <row r="5" spans="1:18" s="60" customFormat="1" ht="28.9" x14ac:dyDescent="0.3">
      <c r="A5" s="105" t="s">
        <v>194</v>
      </c>
      <c r="B5" s="63">
        <f t="shared" ref="B5:K5" si="2">IF(AND(0&lt;(B3-B4)/B3,(B3-B4)/B3&lt;$N$4),B4,B3*(1-$N$5))</f>
        <v>51000</v>
      </c>
      <c r="C5" s="63">
        <f t="shared" si="2"/>
        <v>51000</v>
      </c>
      <c r="D5" s="63">
        <f t="shared" si="2"/>
        <v>51000</v>
      </c>
      <c r="E5" s="63">
        <f t="shared" si="2"/>
        <v>51000</v>
      </c>
      <c r="F5" s="63">
        <f t="shared" si="2"/>
        <v>51000</v>
      </c>
      <c r="G5" s="63">
        <f t="shared" si="2"/>
        <v>51000</v>
      </c>
      <c r="H5" s="63">
        <f t="shared" si="2"/>
        <v>51209.418778447936</v>
      </c>
      <c r="I5" s="63">
        <f t="shared" si="2"/>
        <v>51419.697482871692</v>
      </c>
      <c r="J5" s="63">
        <f t="shared" si="2"/>
        <v>51630.839644342777</v>
      </c>
      <c r="K5" s="63">
        <f t="shared" si="2"/>
        <v>51842.84880843218</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241</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247</v>
      </c>
      <c r="N7" s="86">
        <v>0.85099999999999998</v>
      </c>
      <c r="O7" s="89" t="s">
        <v>168</v>
      </c>
    </row>
    <row r="8" spans="1:18" s="60" customFormat="1" ht="14.45" x14ac:dyDescent="0.3">
      <c r="A8" s="105" t="s">
        <v>173</v>
      </c>
      <c r="B8" s="63">
        <v>0</v>
      </c>
      <c r="C8" s="63">
        <v>0</v>
      </c>
      <c r="D8" s="63">
        <v>0</v>
      </c>
      <c r="E8" s="63">
        <v>0</v>
      </c>
      <c r="F8" s="63">
        <v>0</v>
      </c>
      <c r="G8" s="63">
        <v>0</v>
      </c>
      <c r="H8" s="63">
        <v>0</v>
      </c>
      <c r="I8" s="63">
        <v>0</v>
      </c>
      <c r="J8" s="63">
        <v>0</v>
      </c>
      <c r="K8" s="63">
        <v>0</v>
      </c>
      <c r="L8" s="120" t="s">
        <v>246</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4.1062505578026709E-3</v>
      </c>
      <c r="O9" s="89" t="s">
        <v>206</v>
      </c>
    </row>
    <row r="10" spans="1:18" s="60" customFormat="1" ht="15.6" x14ac:dyDescent="0.3">
      <c r="A10" s="105" t="s">
        <v>174</v>
      </c>
      <c r="B10" s="63">
        <f>B5*B9</f>
        <v>17340</v>
      </c>
      <c r="C10" s="63">
        <f t="shared" ref="C10:K10" si="3">C5*C9</f>
        <v>18360</v>
      </c>
      <c r="D10" s="63">
        <f t="shared" si="3"/>
        <v>18870</v>
      </c>
      <c r="E10" s="63">
        <f t="shared" si="3"/>
        <v>19890</v>
      </c>
      <c r="F10" s="63">
        <f t="shared" si="3"/>
        <v>20910</v>
      </c>
      <c r="G10" s="63">
        <f t="shared" si="3"/>
        <v>21420</v>
      </c>
      <c r="H10" s="63">
        <f t="shared" si="3"/>
        <v>22532.144262517093</v>
      </c>
      <c r="I10" s="63">
        <f t="shared" si="3"/>
        <v>23653.06084212098</v>
      </c>
      <c r="J10" s="63">
        <f t="shared" si="3"/>
        <v>24782.803029284532</v>
      </c>
      <c r="K10" s="63">
        <f t="shared" si="3"/>
        <v>25921.42440421609</v>
      </c>
      <c r="L10" s="89" t="s">
        <v>207</v>
      </c>
      <c r="N10" s="68"/>
      <c r="O10" s="62"/>
    </row>
    <row r="11" spans="1:18" s="60" customFormat="1" ht="28.9" x14ac:dyDescent="0.3">
      <c r="A11" s="105" t="s">
        <v>175</v>
      </c>
      <c r="B11" s="63">
        <f t="shared" ref="B11:K11" si="4">MAX(B3-SUM(B6:B8,B10), B3*$N$6)</f>
        <v>38291.653653297515</v>
      </c>
      <c r="C11" s="63">
        <f t="shared" si="4"/>
        <v>37500.091162142853</v>
      </c>
      <c r="D11" s="63">
        <f t="shared" si="4"/>
        <v>37219.466692636313</v>
      </c>
      <c r="E11" s="63">
        <f t="shared" si="4"/>
        <v>36429.784096529809</v>
      </c>
      <c r="F11" s="63">
        <f t="shared" si="4"/>
        <v>35641.047241391512</v>
      </c>
      <c r="G11" s="63">
        <f t="shared" si="4"/>
        <v>35363.260010670798</v>
      </c>
      <c r="H11" s="63">
        <f t="shared" si="4"/>
        <v>34484.282041246377</v>
      </c>
      <c r="I11" s="63">
        <f t="shared" si="4"/>
        <v>33597.489193956237</v>
      </c>
      <c r="J11" s="63">
        <f t="shared" si="4"/>
        <v>32702.832109812833</v>
      </c>
      <c r="K11" s="63">
        <f t="shared" si="4"/>
        <v>31800.261156236837</v>
      </c>
      <c r="L11" s="89" t="s">
        <v>208</v>
      </c>
      <c r="N11" s="68"/>
      <c r="O11" s="62"/>
    </row>
    <row r="12" spans="1:18" s="60" customFormat="1" ht="43.9" x14ac:dyDescent="0.35">
      <c r="A12" s="105" t="s">
        <v>197</v>
      </c>
      <c r="B12" s="63">
        <f t="shared" ref="B12:K12" si="5">B6*$N$3+B11*$N$2</f>
        <v>16672.186000645739</v>
      </c>
      <c r="C12" s="63">
        <f t="shared" si="5"/>
        <v>16327.539691996999</v>
      </c>
      <c r="D12" s="63">
        <f t="shared" si="5"/>
        <v>16205.355797973851</v>
      </c>
      <c r="E12" s="63">
        <f t="shared" si="5"/>
        <v>15861.52799562908</v>
      </c>
      <c r="F12" s="63">
        <f t="shared" si="5"/>
        <v>15518.111968901865</v>
      </c>
      <c r="G12" s="63">
        <f t="shared" si="5"/>
        <v>15397.163408646065</v>
      </c>
      <c r="H12" s="63">
        <f t="shared" si="5"/>
        <v>15014.456400758672</v>
      </c>
      <c r="I12" s="63">
        <f t="shared" si="5"/>
        <v>14628.346795048546</v>
      </c>
      <c r="J12" s="63">
        <f t="shared" si="5"/>
        <v>14238.813100612508</v>
      </c>
      <c r="K12" s="63">
        <f t="shared" si="5"/>
        <v>13845.83370742552</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8" s="60" customFormat="1" ht="30" x14ac:dyDescent="0.35">
      <c r="A16" s="105" t="s">
        <v>199</v>
      </c>
      <c r="B16" s="82">
        <f t="shared" ref="B16:K16" si="7">B12/B3</f>
        <v>0.2996888444939747</v>
      </c>
      <c r="C16" s="82">
        <f t="shared" si="7"/>
        <v>0.29229346662904115</v>
      </c>
      <c r="D16" s="82">
        <f t="shared" si="7"/>
        <v>0.28891976967399774</v>
      </c>
      <c r="E16" s="82">
        <f t="shared" si="7"/>
        <v>0.28163332388567164</v>
      </c>
      <c r="F16" s="82">
        <f t="shared" si="7"/>
        <v>0.27440892301537545</v>
      </c>
      <c r="G16" s="82">
        <f t="shared" si="7"/>
        <v>0.27115673537857121</v>
      </c>
      <c r="H16" s="82">
        <f t="shared" si="7"/>
        <v>0.26333562753945555</v>
      </c>
      <c r="I16" s="82">
        <f t="shared" si="7"/>
        <v>0.25551451970033989</v>
      </c>
      <c r="J16" s="82">
        <f t="shared" si="7"/>
        <v>0.24769341186122423</v>
      </c>
      <c r="K16" s="82">
        <f t="shared" si="7"/>
        <v>0.23987230402210857</v>
      </c>
      <c r="L16" s="89" t="s">
        <v>212</v>
      </c>
    </row>
    <row r="17" spans="1:18"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8" ht="43.9" thickBot="1" x14ac:dyDescent="0.35">
      <c r="A18" s="128" t="s">
        <v>201</v>
      </c>
      <c r="B18" s="84">
        <f t="shared" ref="B18:K18" si="9">B12*(B14/$N$7)-B17</f>
        <v>16006.082212135803</v>
      </c>
      <c r="C18" s="84">
        <f t="shared" si="9"/>
        <v>15022.871420486075</v>
      </c>
      <c r="D18" s="84">
        <f t="shared" si="9"/>
        <v>14262.998228768995</v>
      </c>
      <c r="E18" s="84">
        <f t="shared" si="9"/>
        <v>13326.665707255925</v>
      </c>
      <c r="F18" s="84">
        <f t="shared" si="9"/>
        <v>12418.136604961424</v>
      </c>
      <c r="G18" s="84">
        <f t="shared" si="9"/>
        <v>11706.186516326679</v>
      </c>
      <c r="H18" s="84">
        <f t="shared" si="9"/>
        <v>10832.992044730698</v>
      </c>
      <c r="I18" s="84">
        <f t="shared" si="9"/>
        <v>9969.9660882822045</v>
      </c>
      <c r="J18" s="84">
        <f t="shared" si="9"/>
        <v>9135.5957143765336</v>
      </c>
      <c r="K18" s="84">
        <f t="shared" si="9"/>
        <v>8314.0082544000488</v>
      </c>
      <c r="L18" s="93" t="s">
        <v>214</v>
      </c>
      <c r="N18" s="60"/>
      <c r="O18" s="60"/>
      <c r="P18" s="60"/>
      <c r="Q18" s="60"/>
      <c r="R18" s="60"/>
    </row>
    <row r="19" spans="1:18" ht="14.45" x14ac:dyDescent="0.3">
      <c r="A19" s="85"/>
      <c r="B19" s="85"/>
      <c r="C19" s="85"/>
      <c r="D19" s="85"/>
      <c r="E19" s="85"/>
      <c r="F19" s="85"/>
      <c r="G19" s="85"/>
      <c r="H19" s="85"/>
      <c r="I19" s="85"/>
      <c r="J19" s="85"/>
      <c r="K19" s="85"/>
      <c r="N19" s="60"/>
      <c r="O19" s="60"/>
      <c r="P19" s="60"/>
      <c r="Q19" s="60"/>
      <c r="R19" s="60"/>
    </row>
    <row r="21" spans="1:18" ht="14.45" x14ac:dyDescent="0.3">
      <c r="D21" s="1"/>
    </row>
  </sheetData>
  <mergeCells count="3">
    <mergeCell ref="B1:L1"/>
    <mergeCell ref="N1:O1"/>
    <mergeCell ref="B13:J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32.85546875" customWidth="1"/>
    <col min="2" max="11" width="10.5703125" bestFit="1" customWidth="1"/>
    <col min="12" max="12" width="49.28515625" style="3" customWidth="1"/>
    <col min="14" max="14" width="8.7109375" customWidth="1"/>
    <col min="15" max="15" width="51.5703125" customWidth="1"/>
  </cols>
  <sheetData>
    <row r="1" spans="1:18" s="60" customFormat="1" ht="28.9" x14ac:dyDescent="0.3">
      <c r="A1" s="103" t="s">
        <v>178</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58.15" x14ac:dyDescent="0.35">
      <c r="A3" s="105" t="s">
        <v>169</v>
      </c>
      <c r="B3" s="63">
        <f>SUMIFS('Form 1.5a'!J:J, 'Form 1.5a'!$B:$B, "CCSF")*1000</f>
        <v>1144000</v>
      </c>
      <c r="C3" s="63">
        <f>SUMIFS('Form 1.5a'!K:K, 'Form 1.5a'!$B:$B, "CCSF")*1000</f>
        <v>1153000</v>
      </c>
      <c r="D3" s="63">
        <f>SUMIFS('Form 1.5a'!L:L, 'Form 1.5a'!$B:$B, "CCSF")*1000</f>
        <v>1161000</v>
      </c>
      <c r="E3" s="63">
        <f>SUMIFS('Form 1.5a'!M:M, 'Form 1.5a'!$B:$B, "CCSF")*1000</f>
        <v>1166000</v>
      </c>
      <c r="F3" s="67">
        <f>AVERAGE(C3:E3)*(1+$N$9)</f>
        <v>1164816.8948436726</v>
      </c>
      <c r="G3" s="67">
        <f>F3*(1+$N$9)</f>
        <v>1169653.791821772</v>
      </c>
      <c r="H3" s="67">
        <f t="shared" ref="H3:K4" si="0">G3*(1+$N$9)</f>
        <v>1174510.7739930723</v>
      </c>
      <c r="I3" s="67">
        <f t="shared" si="0"/>
        <v>1179387.9247612492</v>
      </c>
      <c r="J3" s="67">
        <f t="shared" si="0"/>
        <v>1184285.3278763115</v>
      </c>
      <c r="K3" s="67">
        <f t="shared" si="0"/>
        <v>1189203.0674360394</v>
      </c>
      <c r="L3" s="89" t="s">
        <v>218</v>
      </c>
      <c r="N3" s="64">
        <v>0.91839999999999999</v>
      </c>
      <c r="O3" s="9" t="s">
        <v>203</v>
      </c>
    </row>
    <row r="4" spans="1:18" s="60" customFormat="1" ht="57.6" x14ac:dyDescent="0.3">
      <c r="A4" s="105" t="s">
        <v>170</v>
      </c>
      <c r="B4" s="63">
        <f>SUMIFS('Form 1.1c'!J:J, 'Form 1.1c'!$B:$B, "City of San Francisco")*1000</f>
        <v>1045000</v>
      </c>
      <c r="C4" s="63">
        <f>SUMIFS('Form 1.1c'!K:K, 'Form 1.1c'!$B:$B, "City of San Francisco")*1000</f>
        <v>1053000</v>
      </c>
      <c r="D4" s="63">
        <f>SUMIFS('Form 1.1c'!L:L, 'Form 1.1c'!$B:$B, "City of San Francisco")*1000</f>
        <v>1061000</v>
      </c>
      <c r="E4" s="63">
        <f>SUMIFS('Form 1.1c'!M:M, 'Form 1.1c'!$B:$B, "City of San Francisco")*1000</f>
        <v>1065000</v>
      </c>
      <c r="F4" s="63">
        <f>SUMIFS('Form 1.1c'!N:N, 'Form 1.1c'!$B:$B, "City of San Francisco")*1000</f>
        <v>1070000</v>
      </c>
      <c r="G4" s="63">
        <f>SUMIFS('Form 1.1c'!O:O, 'Form 1.1c'!$B:$B, "City of San Francisco")*1000</f>
        <v>1074000</v>
      </c>
      <c r="H4" s="63">
        <f>AVERAGE(E4:G4)*(1+$N$9)</f>
        <v>1074108.4527452143</v>
      </c>
      <c r="I4" s="63">
        <f t="shared" si="0"/>
        <v>1078568.6833207088</v>
      </c>
      <c r="J4" s="63">
        <f t="shared" si="0"/>
        <v>1083047.4349838418</v>
      </c>
      <c r="K4" s="63">
        <f t="shared" si="0"/>
        <v>1087544.7846433474</v>
      </c>
      <c r="L4" s="89" t="s">
        <v>222</v>
      </c>
      <c r="N4" s="70">
        <f>0.15</f>
        <v>0.15</v>
      </c>
      <c r="O4" s="89" t="s">
        <v>166</v>
      </c>
    </row>
    <row r="5" spans="1:18" s="60" customFormat="1" ht="28.9" x14ac:dyDescent="0.3">
      <c r="A5" s="105" t="s">
        <v>194</v>
      </c>
      <c r="B5" s="63">
        <f t="shared" ref="B5:K5" si="1">IF(AND(0&lt;(B3-B4)/B3,(B3-B4)/B3&lt;$N$4),B4,B3*(1-$N$5))</f>
        <v>1045000</v>
      </c>
      <c r="C5" s="63">
        <f t="shared" si="1"/>
        <v>1053000</v>
      </c>
      <c r="D5" s="63">
        <f t="shared" si="1"/>
        <v>1061000</v>
      </c>
      <c r="E5" s="63">
        <f t="shared" si="1"/>
        <v>1065000</v>
      </c>
      <c r="F5" s="63">
        <f t="shared" si="1"/>
        <v>1070000</v>
      </c>
      <c r="G5" s="63">
        <f t="shared" si="1"/>
        <v>1074000</v>
      </c>
      <c r="H5" s="63">
        <f t="shared" si="1"/>
        <v>1074108.4527452143</v>
      </c>
      <c r="I5" s="63">
        <f t="shared" si="1"/>
        <v>1078568.6833207088</v>
      </c>
      <c r="J5" s="63">
        <f t="shared" si="1"/>
        <v>1083047.4349838418</v>
      </c>
      <c r="K5" s="63">
        <f t="shared" si="1"/>
        <v>1087544.7846433474</v>
      </c>
      <c r="L5" s="89" t="s">
        <v>223</v>
      </c>
      <c r="N5" s="70">
        <f>0.07</f>
        <v>7.0000000000000007E-2</v>
      </c>
      <c r="O5" s="89" t="s">
        <v>220</v>
      </c>
    </row>
    <row r="6" spans="1:18" s="60" customFormat="1" ht="14.45" x14ac:dyDescent="0.3">
      <c r="A6" s="105" t="s">
        <v>171</v>
      </c>
      <c r="B6" s="63">
        <v>0</v>
      </c>
      <c r="C6" s="63">
        <v>0</v>
      </c>
      <c r="D6" s="63">
        <v>0</v>
      </c>
      <c r="E6" s="63">
        <v>0</v>
      </c>
      <c r="F6" s="63">
        <v>0</v>
      </c>
      <c r="G6" s="63">
        <v>0</v>
      </c>
      <c r="H6" s="63">
        <v>0</v>
      </c>
      <c r="I6" s="63">
        <v>0</v>
      </c>
      <c r="J6" s="63">
        <v>0</v>
      </c>
      <c r="K6" s="63">
        <v>0</v>
      </c>
      <c r="L6" s="120" t="s">
        <v>242</v>
      </c>
      <c r="N6" s="65">
        <v>0.05</v>
      </c>
      <c r="O6" s="89" t="s">
        <v>204</v>
      </c>
    </row>
    <row r="7" spans="1:18" s="60" customFormat="1" ht="14.45" x14ac:dyDescent="0.3">
      <c r="A7" s="105" t="s">
        <v>172</v>
      </c>
      <c r="B7" s="63">
        <v>0</v>
      </c>
      <c r="C7" s="63">
        <v>0</v>
      </c>
      <c r="D7" s="63">
        <v>0</v>
      </c>
      <c r="E7" s="63">
        <v>0</v>
      </c>
      <c r="F7" s="63">
        <v>0</v>
      </c>
      <c r="G7" s="63">
        <v>0</v>
      </c>
      <c r="H7" s="63">
        <v>0</v>
      </c>
      <c r="I7" s="63">
        <v>0</v>
      </c>
      <c r="J7" s="63">
        <v>0</v>
      </c>
      <c r="K7" s="63">
        <v>0</v>
      </c>
      <c r="L7" s="120" t="s">
        <v>243</v>
      </c>
      <c r="N7" s="86">
        <v>0.85099999999999998</v>
      </c>
      <c r="O7" s="89" t="s">
        <v>168</v>
      </c>
    </row>
    <row r="8" spans="1:18" s="60" customFormat="1" ht="28.9" x14ac:dyDescent="0.3">
      <c r="A8" s="105" t="s">
        <v>173</v>
      </c>
      <c r="B8" s="67">
        <v>1293600</v>
      </c>
      <c r="C8" s="67">
        <v>1293600</v>
      </c>
      <c r="D8" s="67">
        <v>1293600</v>
      </c>
      <c r="E8" s="67">
        <v>1293600</v>
      </c>
      <c r="F8" s="63">
        <f>AVERAGE(C8:E8)</f>
        <v>1293600</v>
      </c>
      <c r="G8" s="63">
        <f>F8</f>
        <v>1293600</v>
      </c>
      <c r="H8" s="63">
        <f t="shared" ref="H8:K8" si="2">G8</f>
        <v>1293600</v>
      </c>
      <c r="I8" s="63">
        <f t="shared" si="2"/>
        <v>1293600</v>
      </c>
      <c r="J8" s="63">
        <f t="shared" si="2"/>
        <v>1293600</v>
      </c>
      <c r="K8" s="63">
        <f t="shared" si="2"/>
        <v>1293600</v>
      </c>
      <c r="L8" s="89" t="s">
        <v>251</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4.1524955548901676E-3</v>
      </c>
      <c r="O9" s="89" t="s">
        <v>206</v>
      </c>
    </row>
    <row r="10" spans="1:18" s="60" customFormat="1" ht="15.6" x14ac:dyDescent="0.3">
      <c r="A10" s="105" t="s">
        <v>174</v>
      </c>
      <c r="B10" s="63">
        <f>B5*B9</f>
        <v>355300</v>
      </c>
      <c r="C10" s="63">
        <f t="shared" ref="C10:K10" si="3">C5*C9</f>
        <v>379080</v>
      </c>
      <c r="D10" s="63">
        <f t="shared" si="3"/>
        <v>392570</v>
      </c>
      <c r="E10" s="63">
        <f t="shared" si="3"/>
        <v>415350</v>
      </c>
      <c r="F10" s="63">
        <f t="shared" si="3"/>
        <v>438700</v>
      </c>
      <c r="G10" s="63">
        <f t="shared" si="3"/>
        <v>451080</v>
      </c>
      <c r="H10" s="63">
        <f t="shared" si="3"/>
        <v>472607.71920789429</v>
      </c>
      <c r="I10" s="63">
        <f t="shared" si="3"/>
        <v>496141.59432752605</v>
      </c>
      <c r="J10" s="63">
        <f t="shared" si="3"/>
        <v>519862.76879224408</v>
      </c>
      <c r="K10" s="63">
        <f t="shared" si="3"/>
        <v>543772.39232167369</v>
      </c>
      <c r="L10" s="89" t="s">
        <v>207</v>
      </c>
      <c r="N10" s="68"/>
      <c r="O10" s="62"/>
    </row>
    <row r="11" spans="1:18" s="60" customFormat="1" ht="28.9" x14ac:dyDescent="0.3">
      <c r="A11" s="105" t="s">
        <v>175</v>
      </c>
      <c r="B11" s="63">
        <f t="shared" ref="B11:K11" si="4">MAX(B3-SUM(B6:B8,B10), B3*$N$6)</f>
        <v>57200</v>
      </c>
      <c r="C11" s="63">
        <f t="shared" si="4"/>
        <v>57650</v>
      </c>
      <c r="D11" s="63">
        <f t="shared" si="4"/>
        <v>58050</v>
      </c>
      <c r="E11" s="63">
        <f t="shared" si="4"/>
        <v>58300</v>
      </c>
      <c r="F11" s="63">
        <f t="shared" si="4"/>
        <v>58240.844742183632</v>
      </c>
      <c r="G11" s="63">
        <f t="shared" si="4"/>
        <v>58482.689591088601</v>
      </c>
      <c r="H11" s="63">
        <f t="shared" si="4"/>
        <v>58725.538699653618</v>
      </c>
      <c r="I11" s="63">
        <f t="shared" si="4"/>
        <v>58969.396238062465</v>
      </c>
      <c r="J11" s="63">
        <f t="shared" si="4"/>
        <v>59214.266393815575</v>
      </c>
      <c r="K11" s="63">
        <f t="shared" si="4"/>
        <v>59460.153371801978</v>
      </c>
      <c r="L11" s="89" t="s">
        <v>208</v>
      </c>
      <c r="N11" s="68"/>
      <c r="O11" s="62"/>
    </row>
    <row r="12" spans="1:18" s="60" customFormat="1" ht="43.9" x14ac:dyDescent="0.35">
      <c r="A12" s="105" t="s">
        <v>197</v>
      </c>
      <c r="B12" s="63">
        <f t="shared" ref="B12:K12" si="5">B6*$N$3+B11*$N$2</f>
        <v>24904.880000000001</v>
      </c>
      <c r="C12" s="63">
        <f t="shared" si="5"/>
        <v>25100.81</v>
      </c>
      <c r="D12" s="63">
        <f t="shared" si="5"/>
        <v>25274.97</v>
      </c>
      <c r="E12" s="63">
        <f t="shared" si="5"/>
        <v>25383.82</v>
      </c>
      <c r="F12" s="63">
        <f t="shared" si="5"/>
        <v>25358.063800746753</v>
      </c>
      <c r="G12" s="63">
        <f t="shared" si="5"/>
        <v>25463.363047959978</v>
      </c>
      <c r="H12" s="63">
        <f t="shared" si="5"/>
        <v>25569.099549829185</v>
      </c>
      <c r="I12" s="63">
        <f t="shared" si="5"/>
        <v>25675.275122052397</v>
      </c>
      <c r="J12" s="63">
        <f t="shared" si="5"/>
        <v>25781.891587867303</v>
      </c>
      <c r="K12" s="63">
        <f t="shared" si="5"/>
        <v>25888.950778082581</v>
      </c>
      <c r="L12" s="108" t="s">
        <v>209</v>
      </c>
    </row>
    <row r="13" spans="1:18" s="60" customFormat="1" ht="86.45" customHeight="1"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6">$K$13*B14</f>
        <v>0</v>
      </c>
      <c r="C15" s="88">
        <f t="shared" si="6"/>
        <v>0</v>
      </c>
      <c r="D15" s="88">
        <f t="shared" si="6"/>
        <v>0</v>
      </c>
      <c r="E15" s="88">
        <f t="shared" si="6"/>
        <v>0</v>
      </c>
      <c r="F15" s="88">
        <f t="shared" si="6"/>
        <v>0</v>
      </c>
      <c r="G15" s="88">
        <f t="shared" si="6"/>
        <v>0</v>
      </c>
      <c r="H15" s="88">
        <f t="shared" si="6"/>
        <v>0</v>
      </c>
      <c r="I15" s="88">
        <f t="shared" si="6"/>
        <v>0</v>
      </c>
      <c r="J15" s="88">
        <f t="shared" si="6"/>
        <v>0</v>
      </c>
      <c r="K15" s="88">
        <f t="shared" si="6"/>
        <v>0</v>
      </c>
      <c r="L15" s="108" t="s">
        <v>211</v>
      </c>
    </row>
    <row r="16" spans="1:18" s="60" customFormat="1" ht="30" x14ac:dyDescent="0.35">
      <c r="A16" s="105" t="s">
        <v>199</v>
      </c>
      <c r="B16" s="82">
        <f t="shared" ref="B16:K16" si="7">B12/B3</f>
        <v>2.1770000000000001E-2</v>
      </c>
      <c r="C16" s="82">
        <f t="shared" si="7"/>
        <v>2.1770000000000001E-2</v>
      </c>
      <c r="D16" s="82">
        <f t="shared" si="7"/>
        <v>2.1770000000000001E-2</v>
      </c>
      <c r="E16" s="82">
        <f t="shared" si="7"/>
        <v>2.1770000000000001E-2</v>
      </c>
      <c r="F16" s="82">
        <f t="shared" si="7"/>
        <v>2.1770000000000001E-2</v>
      </c>
      <c r="G16" s="82">
        <f t="shared" si="7"/>
        <v>2.1770000000000001E-2</v>
      </c>
      <c r="H16" s="82">
        <f t="shared" si="7"/>
        <v>2.1770000000000001E-2</v>
      </c>
      <c r="I16" s="82">
        <f t="shared" si="7"/>
        <v>2.1770000000000001E-2</v>
      </c>
      <c r="J16" s="82">
        <f t="shared" si="7"/>
        <v>2.1770000000000001E-2</v>
      </c>
      <c r="K16" s="82">
        <f t="shared" si="7"/>
        <v>2.1770000000000001E-2</v>
      </c>
      <c r="L16" s="89" t="s">
        <v>212</v>
      </c>
    </row>
    <row r="17" spans="1:18" s="60" customFormat="1" ht="30.6" thickBot="1" x14ac:dyDescent="0.4">
      <c r="A17" s="105" t="s">
        <v>200</v>
      </c>
      <c r="B17" s="81">
        <f>B15*B16</f>
        <v>0</v>
      </c>
      <c r="C17" s="81">
        <f t="shared" ref="C17:K17" si="8">C15*C16</f>
        <v>0</v>
      </c>
      <c r="D17" s="81">
        <f t="shared" si="8"/>
        <v>0</v>
      </c>
      <c r="E17" s="81">
        <f t="shared" si="8"/>
        <v>0</v>
      </c>
      <c r="F17" s="81">
        <f t="shared" si="8"/>
        <v>0</v>
      </c>
      <c r="G17" s="81">
        <f t="shared" si="8"/>
        <v>0</v>
      </c>
      <c r="H17" s="81">
        <f t="shared" si="8"/>
        <v>0</v>
      </c>
      <c r="I17" s="81">
        <f t="shared" si="8"/>
        <v>0</v>
      </c>
      <c r="J17" s="81">
        <f t="shared" si="8"/>
        <v>0</v>
      </c>
      <c r="K17" s="81">
        <f t="shared" si="8"/>
        <v>0</v>
      </c>
      <c r="L17" s="89" t="s">
        <v>213</v>
      </c>
    </row>
    <row r="18" spans="1:18" ht="43.9" thickBot="1" x14ac:dyDescent="0.35">
      <c r="A18" s="128" t="s">
        <v>201</v>
      </c>
      <c r="B18" s="84">
        <f t="shared" ref="B18:K18" si="9">B12*(B14/$N$7)-B17</f>
        <v>23909.855417156286</v>
      </c>
      <c r="C18" s="84">
        <f t="shared" si="9"/>
        <v>23095.104853113986</v>
      </c>
      <c r="D18" s="84">
        <f t="shared" si="9"/>
        <v>22245.537638072856</v>
      </c>
      <c r="E18" s="84">
        <f t="shared" si="9"/>
        <v>21327.181316098708</v>
      </c>
      <c r="F18" s="84">
        <f t="shared" si="9"/>
        <v>20292.410632559979</v>
      </c>
      <c r="G18" s="84">
        <f t="shared" si="9"/>
        <v>19359.337123419631</v>
      </c>
      <c r="H18" s="84">
        <f t="shared" si="9"/>
        <v>18448.210486010714</v>
      </c>
      <c r="I18" s="84">
        <f t="shared" si="9"/>
        <v>17499.012421610329</v>
      </c>
      <c r="J18" s="84">
        <f t="shared" si="9"/>
        <v>16541.613169183958</v>
      </c>
      <c r="K18" s="84">
        <f t="shared" si="9"/>
        <v>15545.539186369211</v>
      </c>
      <c r="L18" s="93" t="s">
        <v>214</v>
      </c>
      <c r="N18" s="60"/>
      <c r="O18" s="60"/>
      <c r="P18" s="60"/>
      <c r="Q18" s="60"/>
      <c r="R18" s="60"/>
    </row>
    <row r="19" spans="1:18" ht="14.45" x14ac:dyDescent="0.3">
      <c r="A19" s="85"/>
      <c r="B19" s="85"/>
      <c r="C19" s="85"/>
      <c r="D19" s="85"/>
      <c r="E19" s="85"/>
      <c r="F19" s="85"/>
      <c r="G19" s="85"/>
      <c r="H19" s="85"/>
      <c r="I19" s="85"/>
      <c r="J19" s="85"/>
      <c r="K19" s="85"/>
      <c r="N19" s="60"/>
      <c r="O19" s="60"/>
      <c r="P19" s="60"/>
      <c r="Q19" s="60"/>
      <c r="R19" s="60"/>
    </row>
  </sheetData>
  <mergeCells count="3">
    <mergeCell ref="B1:L1"/>
    <mergeCell ref="N1:O1"/>
    <mergeCell ref="B13:J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heetViews>
  <sheetFormatPr defaultRowHeight="15" x14ac:dyDescent="0.25"/>
  <cols>
    <col min="1" max="1" width="31.28515625" customWidth="1"/>
    <col min="2" max="11" width="10.5703125" bestFit="1" customWidth="1"/>
    <col min="12" max="12" width="49.28515625" customWidth="1"/>
    <col min="14" max="14" width="8.7109375" customWidth="1"/>
    <col min="15" max="15" width="41.42578125" customWidth="1"/>
    <col min="17" max="17" width="12.140625" customWidth="1"/>
    <col min="18" max="18" width="14.42578125" customWidth="1"/>
    <col min="19" max="19" width="10.7109375" bestFit="1" customWidth="1"/>
  </cols>
  <sheetData>
    <row r="1" spans="1:16" s="60" customFormat="1" ht="28.9" x14ac:dyDescent="0.3">
      <c r="A1" s="103" t="s">
        <v>179</v>
      </c>
      <c r="B1" s="141" t="s">
        <v>176</v>
      </c>
      <c r="C1" s="142"/>
      <c r="D1" s="142"/>
      <c r="E1" s="142"/>
      <c r="F1" s="142"/>
      <c r="G1" s="142"/>
      <c r="H1" s="142"/>
      <c r="I1" s="142"/>
      <c r="J1" s="142"/>
      <c r="K1" s="142"/>
      <c r="L1" s="143"/>
      <c r="N1" s="144" t="s">
        <v>196</v>
      </c>
      <c r="O1" s="145"/>
      <c r="P1" s="62"/>
    </row>
    <row r="2" spans="1:16"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6" s="60" customFormat="1" ht="58.15" x14ac:dyDescent="0.35">
      <c r="A3" s="105" t="s">
        <v>169</v>
      </c>
      <c r="B3" s="63">
        <f>SUMIFS('Form 1.5a'!J:J, 'Form 1.5a'!$B:$B, "Anaheim")*1000</f>
        <v>2563000</v>
      </c>
      <c r="C3" s="63">
        <f>SUMIFS('Form 1.5a'!K:K, 'Form 1.5a'!$B:$B, "Anaheim")*1000</f>
        <v>2578000</v>
      </c>
      <c r="D3" s="63">
        <f>SUMIFS('Form 1.5a'!L:L, 'Form 1.5a'!$B:$B, "Anaheim")*1000</f>
        <v>2586000</v>
      </c>
      <c r="E3" s="63">
        <f>SUMIFS('Form 1.5a'!M:M, 'Form 1.5a'!$B:$B, "Anaheim")*1000</f>
        <v>2591000</v>
      </c>
      <c r="F3" s="63">
        <f>SUMIFS('Form 1.5a'!N:N, 'Form 1.5a'!$B:$B, "Anaheim")*1000</f>
        <v>2600000</v>
      </c>
      <c r="G3" s="63">
        <f>SUMIFS('Form 1.5a'!O:O, 'Form 1.5a'!$B:$B, "Anaheim")*1000</f>
        <v>2602000</v>
      </c>
      <c r="H3" s="67">
        <f>AVERAGE(E3:G3)*(1+$N$9)</f>
        <v>2608258.2357388325</v>
      </c>
      <c r="I3" s="67">
        <f t="shared" ref="I3:K4" si="0">H3*(1+$N$9)</f>
        <v>2618892.9902346134</v>
      </c>
      <c r="J3" s="67">
        <f t="shared" si="0"/>
        <v>2629571.1062356457</v>
      </c>
      <c r="K3" s="67">
        <f t="shared" si="0"/>
        <v>2640292.7605415098</v>
      </c>
      <c r="L3" s="89" t="s">
        <v>218</v>
      </c>
      <c r="N3" s="64">
        <v>0.91839999999999999</v>
      </c>
      <c r="O3" s="9" t="s">
        <v>203</v>
      </c>
    </row>
    <row r="4" spans="1:16" s="60" customFormat="1" ht="57.6" x14ac:dyDescent="0.3">
      <c r="A4" s="105" t="s">
        <v>170</v>
      </c>
      <c r="B4" s="63">
        <f>SUMIFS('Form 1.1c'!J:J, 'Form 1.1c'!$B:$B, "City of Anaheim")*1000</f>
        <v>2403000</v>
      </c>
      <c r="C4" s="63">
        <f>SUMIFS('Form 1.1c'!K:K, 'Form 1.1c'!$B:$B, "City of Anaheim")*1000</f>
        <v>2418000</v>
      </c>
      <c r="D4" s="63">
        <f>SUMIFS('Form 1.1c'!L:L, 'Form 1.1c'!$B:$B, "City of Anaheim")*1000</f>
        <v>2426000</v>
      </c>
      <c r="E4" s="63">
        <f>SUMIFS('Form 1.1c'!M:M, 'Form 1.1c'!$B:$B, "City of Anaheim")*1000</f>
        <v>2431000</v>
      </c>
      <c r="F4" s="63">
        <f>SUMIFS('Form 1.1c'!N:N, 'Form 1.1c'!$B:$B, "City of Anaheim")*1000</f>
        <v>2439000</v>
      </c>
      <c r="G4" s="63">
        <f>SUMIFS('Form 1.1c'!O:O, 'Form 1.1c'!$B:$B, "City of Anaheim")*1000</f>
        <v>2441000</v>
      </c>
      <c r="H4" s="67">
        <f>AVERAGE(E4:G4)*(1+$N$9)</f>
        <v>2446936.4765156684</v>
      </c>
      <c r="I4" s="63">
        <f t="shared" si="0"/>
        <v>2456913.4674201538</v>
      </c>
      <c r="J4" s="63">
        <f t="shared" si="0"/>
        <v>2466931.1379043763</v>
      </c>
      <c r="K4" s="63">
        <f t="shared" si="0"/>
        <v>2476989.6538327956</v>
      </c>
      <c r="L4" s="89" t="s">
        <v>222</v>
      </c>
      <c r="N4" s="70">
        <f>0.15</f>
        <v>0.15</v>
      </c>
      <c r="O4" s="89" t="s">
        <v>166</v>
      </c>
    </row>
    <row r="5" spans="1:16" s="60" customFormat="1" ht="28.9" x14ac:dyDescent="0.3">
      <c r="A5" s="105" t="s">
        <v>194</v>
      </c>
      <c r="B5" s="63">
        <f t="shared" ref="B5:K5" si="1">IF(AND(0&lt;(B3-B4)/B3,(B3-B4)/B3&lt;$N$4),B4,B3*(1-$N$5))</f>
        <v>2403000</v>
      </c>
      <c r="C5" s="63">
        <f t="shared" si="1"/>
        <v>2418000</v>
      </c>
      <c r="D5" s="63">
        <f t="shared" si="1"/>
        <v>2426000</v>
      </c>
      <c r="E5" s="63">
        <f t="shared" si="1"/>
        <v>2431000</v>
      </c>
      <c r="F5" s="63">
        <f t="shared" si="1"/>
        <v>2439000</v>
      </c>
      <c r="G5" s="63">
        <f t="shared" si="1"/>
        <v>2441000</v>
      </c>
      <c r="H5" s="63">
        <f t="shared" si="1"/>
        <v>2446936.4765156684</v>
      </c>
      <c r="I5" s="63">
        <f t="shared" si="1"/>
        <v>2456913.4674201538</v>
      </c>
      <c r="J5" s="63">
        <f t="shared" si="1"/>
        <v>2466931.1379043763</v>
      </c>
      <c r="K5" s="63">
        <f t="shared" si="1"/>
        <v>2476989.6538327956</v>
      </c>
      <c r="L5" s="89" t="s">
        <v>223</v>
      </c>
      <c r="N5" s="70">
        <f>0.07</f>
        <v>7.0000000000000007E-2</v>
      </c>
      <c r="O5" s="89" t="s">
        <v>220</v>
      </c>
    </row>
    <row r="6" spans="1:16" s="60" customFormat="1" ht="72" x14ac:dyDescent="0.3">
      <c r="A6" s="105" t="s">
        <v>171</v>
      </c>
      <c r="B6" s="63">
        <v>1574512</v>
      </c>
      <c r="C6" s="63">
        <v>1535302</v>
      </c>
      <c r="D6" s="63">
        <v>1515762</v>
      </c>
      <c r="E6" s="63">
        <v>1469920.8199999998</v>
      </c>
      <c r="F6" s="63">
        <f>F3-SUM(F7:F8,F10:F11)</f>
        <v>1426651.6066666669</v>
      </c>
      <c r="G6" s="63">
        <f>G3-SUM(G7:G8,G10:G11)</f>
        <v>1403321.6066666667</v>
      </c>
      <c r="H6" s="63">
        <f>G6/2</f>
        <v>701660.80333333334</v>
      </c>
      <c r="I6" s="63">
        <v>0</v>
      </c>
      <c r="J6" s="63">
        <f t="shared" ref="J6" si="2">I6</f>
        <v>0</v>
      </c>
      <c r="K6" s="63">
        <f t="shared" ref="K6" si="3">J6</f>
        <v>0</v>
      </c>
      <c r="L6" s="120" t="s">
        <v>265</v>
      </c>
      <c r="N6" s="65">
        <v>0.05</v>
      </c>
      <c r="O6" s="89" t="s">
        <v>204</v>
      </c>
    </row>
    <row r="7" spans="1:16" s="60" customFormat="1" ht="14.45" x14ac:dyDescent="0.3">
      <c r="A7" s="105" t="s">
        <v>172</v>
      </c>
      <c r="B7" s="63">
        <v>0</v>
      </c>
      <c r="C7" s="63">
        <v>0</v>
      </c>
      <c r="D7" s="63">
        <v>0</v>
      </c>
      <c r="E7" s="63">
        <v>0</v>
      </c>
      <c r="F7" s="63">
        <v>0</v>
      </c>
      <c r="G7" s="63">
        <v>0</v>
      </c>
      <c r="H7" s="63">
        <v>0</v>
      </c>
      <c r="I7" s="63">
        <v>0</v>
      </c>
      <c r="J7" s="63">
        <v>0</v>
      </c>
      <c r="K7" s="63">
        <v>0</v>
      </c>
      <c r="L7" s="119" t="s">
        <v>243</v>
      </c>
      <c r="N7" s="86">
        <v>0.85099999999999998</v>
      </c>
      <c r="O7" s="89" t="s">
        <v>168</v>
      </c>
    </row>
    <row r="8" spans="1:16" s="60" customFormat="1" ht="28.9" x14ac:dyDescent="0.3">
      <c r="A8" s="105" t="s">
        <v>173</v>
      </c>
      <c r="B8" s="67">
        <v>43318</v>
      </c>
      <c r="C8" s="67">
        <v>43318</v>
      </c>
      <c r="D8" s="67">
        <v>43318</v>
      </c>
      <c r="E8" s="67">
        <v>43439.18</v>
      </c>
      <c r="F8" s="63">
        <f>AVERAGE(C8:E8)</f>
        <v>43358.393333333333</v>
      </c>
      <c r="G8" s="63">
        <f>F8</f>
        <v>43358.393333333333</v>
      </c>
      <c r="H8" s="63">
        <f t="shared" ref="H8:K8" si="4">G8</f>
        <v>43358.393333333333</v>
      </c>
      <c r="I8" s="63">
        <f t="shared" si="4"/>
        <v>43358.393333333333</v>
      </c>
      <c r="J8" s="63">
        <f t="shared" si="4"/>
        <v>43358.393333333333</v>
      </c>
      <c r="K8" s="63">
        <f t="shared" si="4"/>
        <v>43358.393333333333</v>
      </c>
      <c r="L8" s="89" t="s">
        <v>251</v>
      </c>
      <c r="O8" s="107"/>
    </row>
    <row r="9" spans="1:16" s="60" customFormat="1" ht="28.9" x14ac:dyDescent="0.3">
      <c r="A9" s="105" t="s">
        <v>153</v>
      </c>
      <c r="B9" s="73">
        <v>0.34</v>
      </c>
      <c r="C9" s="59">
        <v>0.36</v>
      </c>
      <c r="D9" s="59">
        <v>0.37</v>
      </c>
      <c r="E9" s="59">
        <v>0.39</v>
      </c>
      <c r="F9" s="59">
        <v>0.41</v>
      </c>
      <c r="G9" s="59">
        <v>0.42</v>
      </c>
      <c r="H9" s="59">
        <v>0.44</v>
      </c>
      <c r="I9" s="59">
        <v>0.46</v>
      </c>
      <c r="J9" s="59">
        <v>0.48</v>
      </c>
      <c r="K9" s="59">
        <v>0.5</v>
      </c>
      <c r="L9" s="89" t="s">
        <v>248</v>
      </c>
      <c r="N9" s="66">
        <v>4.0773395632616172E-3</v>
      </c>
      <c r="O9" s="89" t="s">
        <v>206</v>
      </c>
    </row>
    <row r="10" spans="1:16" s="60" customFormat="1" ht="15.6" x14ac:dyDescent="0.3">
      <c r="A10" s="105" t="s">
        <v>174</v>
      </c>
      <c r="B10" s="63">
        <f>B5*B9</f>
        <v>817020.00000000012</v>
      </c>
      <c r="C10" s="63">
        <f t="shared" ref="C10:K10" si="5">C5*C9</f>
        <v>870480</v>
      </c>
      <c r="D10" s="63">
        <f t="shared" si="5"/>
        <v>897620</v>
      </c>
      <c r="E10" s="63">
        <f t="shared" si="5"/>
        <v>948090</v>
      </c>
      <c r="F10" s="63">
        <f t="shared" si="5"/>
        <v>999989.99999999988</v>
      </c>
      <c r="G10" s="63">
        <f t="shared" si="5"/>
        <v>1025220</v>
      </c>
      <c r="H10" s="63">
        <f t="shared" si="5"/>
        <v>1076652.0496668941</v>
      </c>
      <c r="I10" s="63">
        <f t="shared" si="5"/>
        <v>1130180.1950132707</v>
      </c>
      <c r="J10" s="63">
        <f t="shared" si="5"/>
        <v>1184126.9461941007</v>
      </c>
      <c r="K10" s="63">
        <f t="shared" si="5"/>
        <v>1238494.8269163978</v>
      </c>
      <c r="L10" s="89" t="s">
        <v>207</v>
      </c>
      <c r="N10" s="68"/>
      <c r="O10" s="62"/>
    </row>
    <row r="11" spans="1:16" s="60" customFormat="1" ht="57.6" x14ac:dyDescent="0.3">
      <c r="A11" s="105" t="s">
        <v>175</v>
      </c>
      <c r="B11" s="63">
        <f t="shared" ref="B11:G11" si="6">B3*$N$6</f>
        <v>128150</v>
      </c>
      <c r="C11" s="63">
        <f t="shared" si="6"/>
        <v>128900</v>
      </c>
      <c r="D11" s="63">
        <f t="shared" si="6"/>
        <v>129300</v>
      </c>
      <c r="E11" s="63">
        <f t="shared" si="6"/>
        <v>129550</v>
      </c>
      <c r="F11" s="63">
        <f t="shared" si="6"/>
        <v>130000</v>
      </c>
      <c r="G11" s="63">
        <f t="shared" si="6"/>
        <v>130100</v>
      </c>
      <c r="H11" s="63">
        <f t="shared" ref="H11:K11" si="7">MAX(H3-SUM(H6:H8,H10), H3*$N$6)</f>
        <v>786586.9894052716</v>
      </c>
      <c r="I11" s="63">
        <f t="shared" si="7"/>
        <v>1445354.4018880094</v>
      </c>
      <c r="J11" s="63">
        <f t="shared" si="7"/>
        <v>1402085.7667082117</v>
      </c>
      <c r="K11" s="63">
        <f t="shared" si="7"/>
        <v>1358439.5402917787</v>
      </c>
      <c r="L11" s="89" t="s">
        <v>274</v>
      </c>
      <c r="N11" s="68"/>
      <c r="O11" s="62"/>
    </row>
    <row r="12" spans="1:16" s="60" customFormat="1" ht="43.9" x14ac:dyDescent="0.35">
      <c r="A12" s="105" t="s">
        <v>197</v>
      </c>
      <c r="B12" s="63">
        <f t="shared" ref="B12:K12" si="8">B6*$N$3+B11*$N$2</f>
        <v>1501828.3308000001</v>
      </c>
      <c r="C12" s="63">
        <f t="shared" si="8"/>
        <v>1466144.4168</v>
      </c>
      <c r="D12" s="63">
        <f t="shared" si="8"/>
        <v>1448373.0408000001</v>
      </c>
      <c r="E12" s="63">
        <f t="shared" si="8"/>
        <v>1406381.351088</v>
      </c>
      <c r="F12" s="63">
        <f t="shared" si="8"/>
        <v>1366838.8355626669</v>
      </c>
      <c r="G12" s="63">
        <f t="shared" si="8"/>
        <v>1345456.1035626668</v>
      </c>
      <c r="H12" s="63">
        <f t="shared" si="8"/>
        <v>986885.25696838857</v>
      </c>
      <c r="I12" s="63">
        <f t="shared" si="8"/>
        <v>629307.30658203934</v>
      </c>
      <c r="J12" s="63">
        <f t="shared" si="8"/>
        <v>610468.1428247554</v>
      </c>
      <c r="K12" s="63">
        <f t="shared" si="8"/>
        <v>591464.57584304048</v>
      </c>
      <c r="L12" s="108" t="s">
        <v>209</v>
      </c>
    </row>
    <row r="13" spans="1:16" s="60" customFormat="1" ht="86.45" x14ac:dyDescent="0.3">
      <c r="A13" s="105"/>
      <c r="B13" s="146" t="s">
        <v>210</v>
      </c>
      <c r="C13" s="147"/>
      <c r="D13" s="147"/>
      <c r="E13" s="147"/>
      <c r="F13" s="147"/>
      <c r="G13" s="147"/>
      <c r="H13" s="147"/>
      <c r="I13" s="147"/>
      <c r="J13" s="148"/>
      <c r="K13" s="87">
        <v>0</v>
      </c>
      <c r="L13" s="108" t="s">
        <v>216</v>
      </c>
    </row>
    <row r="14" spans="1:16"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row>
    <row r="15" spans="1:16" s="60" customFormat="1" ht="28.9" x14ac:dyDescent="0.3">
      <c r="A15" s="105" t="s">
        <v>198</v>
      </c>
      <c r="B15" s="88">
        <f t="shared" ref="B15:K15" si="9">$K$13*B14</f>
        <v>0</v>
      </c>
      <c r="C15" s="88">
        <f t="shared" si="9"/>
        <v>0</v>
      </c>
      <c r="D15" s="88">
        <f t="shared" si="9"/>
        <v>0</v>
      </c>
      <c r="E15" s="88">
        <f t="shared" si="9"/>
        <v>0</v>
      </c>
      <c r="F15" s="88">
        <f t="shared" si="9"/>
        <v>0</v>
      </c>
      <c r="G15" s="88">
        <f t="shared" si="9"/>
        <v>0</v>
      </c>
      <c r="H15" s="88">
        <f t="shared" si="9"/>
        <v>0</v>
      </c>
      <c r="I15" s="88">
        <f t="shared" si="9"/>
        <v>0</v>
      </c>
      <c r="J15" s="88">
        <f t="shared" si="9"/>
        <v>0</v>
      </c>
      <c r="K15" s="88">
        <f t="shared" si="9"/>
        <v>0</v>
      </c>
      <c r="L15" s="108" t="s">
        <v>211</v>
      </c>
    </row>
    <row r="16" spans="1:16" s="60" customFormat="1" ht="30" x14ac:dyDescent="0.35">
      <c r="A16" s="105" t="s">
        <v>199</v>
      </c>
      <c r="B16" s="82">
        <f>B12/B3</f>
        <v>0.58596501396800627</v>
      </c>
      <c r="C16" s="82">
        <f t="shared" ref="C16:K16" si="10">C12/C3</f>
        <v>0.56871389325058186</v>
      </c>
      <c r="D16" s="82">
        <f t="shared" si="10"/>
        <v>0.56008238236658936</v>
      </c>
      <c r="E16" s="82">
        <f t="shared" si="10"/>
        <v>0.54279480937398683</v>
      </c>
      <c r="F16" s="82">
        <f t="shared" si="10"/>
        <v>0.52570724444717953</v>
      </c>
      <c r="G16" s="82">
        <f t="shared" si="10"/>
        <v>0.51708535878657447</v>
      </c>
      <c r="H16" s="82">
        <f t="shared" si="10"/>
        <v>0.37836945876213707</v>
      </c>
      <c r="I16" s="82">
        <f t="shared" si="10"/>
        <v>0.24029515865238268</v>
      </c>
      <c r="J16" s="82">
        <f t="shared" si="10"/>
        <v>0.23215502382769529</v>
      </c>
      <c r="K16" s="82">
        <f t="shared" si="10"/>
        <v>0.2240147701354657</v>
      </c>
      <c r="L16" s="89" t="s">
        <v>212</v>
      </c>
    </row>
    <row r="17" spans="1:12" s="60" customFormat="1" ht="33.75" thickBot="1" x14ac:dyDescent="0.4">
      <c r="A17" s="105" t="s">
        <v>200</v>
      </c>
      <c r="B17" s="81">
        <f>B15*B16</f>
        <v>0</v>
      </c>
      <c r="C17" s="81">
        <f t="shared" ref="C17:K17" si="11">C15*C16</f>
        <v>0</v>
      </c>
      <c r="D17" s="81">
        <f t="shared" si="11"/>
        <v>0</v>
      </c>
      <c r="E17" s="81">
        <f t="shared" si="11"/>
        <v>0</v>
      </c>
      <c r="F17" s="81">
        <f t="shared" si="11"/>
        <v>0</v>
      </c>
      <c r="G17" s="81">
        <f t="shared" si="11"/>
        <v>0</v>
      </c>
      <c r="H17" s="81">
        <f t="shared" si="11"/>
        <v>0</v>
      </c>
      <c r="I17" s="81">
        <f t="shared" si="11"/>
        <v>0</v>
      </c>
      <c r="J17" s="81">
        <f t="shared" si="11"/>
        <v>0</v>
      </c>
      <c r="K17" s="81">
        <f t="shared" si="11"/>
        <v>0</v>
      </c>
      <c r="L17" s="89" t="s">
        <v>213</v>
      </c>
    </row>
    <row r="18" spans="1:12" ht="45.75" thickBot="1" x14ac:dyDescent="0.3">
      <c r="A18" s="128" t="s">
        <v>201</v>
      </c>
      <c r="B18" s="84">
        <f t="shared" ref="B18:K18" si="12">B12*(B14/$N$7)-B17</f>
        <v>1441825.7887938896</v>
      </c>
      <c r="C18" s="84">
        <f t="shared" si="12"/>
        <v>1348990.6913682725</v>
      </c>
      <c r="D18" s="84">
        <f t="shared" si="12"/>
        <v>1274772.5118204467</v>
      </c>
      <c r="E18" s="84">
        <f t="shared" si="12"/>
        <v>1181624.7544393889</v>
      </c>
      <c r="F18" s="84">
        <f t="shared" si="12"/>
        <v>1093792.2996688322</v>
      </c>
      <c r="G18" s="84">
        <f t="shared" si="12"/>
        <v>1022926.0857873624</v>
      </c>
      <c r="H18" s="84">
        <f t="shared" si="12"/>
        <v>712041.7717727269</v>
      </c>
      <c r="I18" s="84">
        <f t="shared" si="12"/>
        <v>428905.09731795866</v>
      </c>
      <c r="J18" s="84">
        <f t="shared" si="12"/>
        <v>391675.21267017216</v>
      </c>
      <c r="K18" s="84">
        <f t="shared" si="12"/>
        <v>355156.75470716064</v>
      </c>
      <c r="L18" s="93" t="s">
        <v>214</v>
      </c>
    </row>
    <row r="19" spans="1:12" x14ac:dyDescent="0.25">
      <c r="A19" s="85"/>
      <c r="B19" s="85"/>
      <c r="C19" s="85"/>
      <c r="D19" s="85"/>
      <c r="E19" s="85"/>
      <c r="F19" s="85"/>
      <c r="G19" s="85"/>
      <c r="H19" s="85"/>
      <c r="I19" s="85"/>
      <c r="J19" s="85"/>
      <c r="K19" s="85"/>
    </row>
    <row r="20" spans="1:12" x14ac:dyDescent="0.25">
      <c r="B20" s="1"/>
      <c r="C20" s="1"/>
    </row>
    <row r="21" spans="1:12" x14ac:dyDescent="0.25">
      <c r="B21" s="1"/>
      <c r="C21" s="1"/>
    </row>
  </sheetData>
  <mergeCells count="3">
    <mergeCell ref="B1:L1"/>
    <mergeCell ref="N1:O1"/>
    <mergeCell ref="B13:J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defaultRowHeight="15" x14ac:dyDescent="0.25"/>
  <cols>
    <col min="1" max="1" width="36.7109375" customWidth="1"/>
    <col min="2" max="11" width="9" bestFit="1" customWidth="1"/>
    <col min="12" max="12" width="49.28515625" style="3" customWidth="1"/>
    <col min="14" max="14" width="8.7109375" customWidth="1"/>
    <col min="15" max="15" width="43.7109375" customWidth="1"/>
  </cols>
  <sheetData>
    <row r="1" spans="1:18" s="60" customFormat="1" ht="15.6" x14ac:dyDescent="0.3">
      <c r="A1" s="103" t="s">
        <v>181</v>
      </c>
      <c r="B1" s="141" t="s">
        <v>176</v>
      </c>
      <c r="C1" s="142"/>
      <c r="D1" s="142"/>
      <c r="E1" s="142"/>
      <c r="F1" s="142"/>
      <c r="G1" s="142"/>
      <c r="H1" s="142"/>
      <c r="I1" s="142"/>
      <c r="J1" s="142"/>
      <c r="K1" s="142"/>
      <c r="L1" s="143"/>
      <c r="N1" s="144" t="s">
        <v>196</v>
      </c>
      <c r="O1" s="145"/>
      <c r="P1" s="62"/>
    </row>
    <row r="2" spans="1:18" s="60" customFormat="1" ht="15.6" x14ac:dyDescent="0.35">
      <c r="A2" s="104" t="s">
        <v>152</v>
      </c>
      <c r="B2" s="90">
        <v>2021</v>
      </c>
      <c r="C2" s="90">
        <v>2022</v>
      </c>
      <c r="D2" s="90">
        <v>2023</v>
      </c>
      <c r="E2" s="90">
        <v>2024</v>
      </c>
      <c r="F2" s="90">
        <v>2025</v>
      </c>
      <c r="G2" s="90">
        <v>2026</v>
      </c>
      <c r="H2" s="90">
        <v>2027</v>
      </c>
      <c r="I2" s="90">
        <v>2028</v>
      </c>
      <c r="J2" s="90">
        <v>2029</v>
      </c>
      <c r="K2" s="91">
        <v>2030</v>
      </c>
      <c r="L2" s="92" t="s">
        <v>177</v>
      </c>
      <c r="N2" s="61">
        <v>0.43540000000000001</v>
      </c>
      <c r="O2" s="9" t="s">
        <v>202</v>
      </c>
    </row>
    <row r="3" spans="1:18" s="60" customFormat="1" ht="44.45" x14ac:dyDescent="0.35">
      <c r="A3" s="105" t="s">
        <v>169</v>
      </c>
      <c r="B3" s="63">
        <v>272279.59132343088</v>
      </c>
      <c r="C3" s="67">
        <f t="shared" ref="C3:G3" si="0">B3*(1+$N$9)</f>
        <v>273397.63954718102</v>
      </c>
      <c r="D3" s="67">
        <f t="shared" si="0"/>
        <v>274520.27875707357</v>
      </c>
      <c r="E3" s="67">
        <f t="shared" si="0"/>
        <v>275647.52780484792</v>
      </c>
      <c r="F3" s="67">
        <f t="shared" si="0"/>
        <v>276779.40561965352</v>
      </c>
      <c r="G3" s="67">
        <f t="shared" si="0"/>
        <v>277915.93120836752</v>
      </c>
      <c r="H3" s="67">
        <f t="shared" ref="H3:K4" si="1">G3*(1+$N$9)</f>
        <v>279057.12365591415</v>
      </c>
      <c r="I3" s="67">
        <f t="shared" si="1"/>
        <v>280203.00212558504</v>
      </c>
      <c r="J3" s="67">
        <f t="shared" si="1"/>
        <v>281353.58585936122</v>
      </c>
      <c r="K3" s="67">
        <f t="shared" si="1"/>
        <v>282508.89417823602</v>
      </c>
      <c r="L3" s="89" t="s">
        <v>219</v>
      </c>
      <c r="N3" s="64">
        <v>0.91839999999999999</v>
      </c>
      <c r="O3" s="9" t="s">
        <v>203</v>
      </c>
    </row>
    <row r="4" spans="1:18" s="60" customFormat="1" ht="57.6" x14ac:dyDescent="0.3">
      <c r="A4" s="105" t="s">
        <v>170</v>
      </c>
      <c r="B4" s="63">
        <f>SUMIFS('Form 1.1c'!J:J, 'Form 1.1c'!$B:$B, "Azusa Light &amp; Water")*1000</f>
        <v>265000</v>
      </c>
      <c r="C4" s="63">
        <f>SUMIFS('Form 1.1c'!K:K, 'Form 1.1c'!$B:$B, "Azusa Light &amp; Water")*1000</f>
        <v>266000</v>
      </c>
      <c r="D4" s="63">
        <f>SUMIFS('Form 1.1c'!L:L, 'Form 1.1c'!$B:$B, "Azusa Light &amp; Water")*1000</f>
        <v>267000</v>
      </c>
      <c r="E4" s="63">
        <f>SUMIFS('Form 1.1c'!M:M, 'Form 1.1c'!$B:$B, "Azusa Light &amp; Water")*1000</f>
        <v>268000</v>
      </c>
      <c r="F4" s="63">
        <f>SUMIFS('Form 1.1c'!N:N, 'Form 1.1c'!$B:$B, "Azusa Light &amp; Water")*1000</f>
        <v>269000</v>
      </c>
      <c r="G4" s="63">
        <f>SUMIFS('Form 1.1c'!O:O, 'Form 1.1c'!$B:$B, "Azusa Light &amp; Water")*1000</f>
        <v>269000</v>
      </c>
      <c r="H4" s="67">
        <f>AVERAGE(E4:G4)*(1+$N$9)</f>
        <v>269769.87931652967</v>
      </c>
      <c r="I4" s="63">
        <f t="shared" si="1"/>
        <v>270877.62203395151</v>
      </c>
      <c r="J4" s="63">
        <f t="shared" si="1"/>
        <v>271989.91342052468</v>
      </c>
      <c r="K4" s="63">
        <f t="shared" si="1"/>
        <v>273106.7721542244</v>
      </c>
      <c r="L4" s="89" t="s">
        <v>222</v>
      </c>
      <c r="N4" s="70">
        <f>0.15</f>
        <v>0.15</v>
      </c>
      <c r="O4" s="89" t="s">
        <v>166</v>
      </c>
    </row>
    <row r="5" spans="1:18" s="60" customFormat="1" ht="28.9" x14ac:dyDescent="0.3">
      <c r="A5" s="105" t="s">
        <v>194</v>
      </c>
      <c r="B5" s="63">
        <f t="shared" ref="B5:K5" si="2">IF(AND(0&lt;(B3-B4)/B3,(B3-B4)/B3&lt;$N$4),B4,B3*(1-$N$5))</f>
        <v>265000</v>
      </c>
      <c r="C5" s="63">
        <f t="shared" si="2"/>
        <v>266000</v>
      </c>
      <c r="D5" s="63">
        <f t="shared" si="2"/>
        <v>267000</v>
      </c>
      <c r="E5" s="63">
        <f t="shared" si="2"/>
        <v>268000</v>
      </c>
      <c r="F5" s="63">
        <f t="shared" si="2"/>
        <v>269000</v>
      </c>
      <c r="G5" s="63">
        <f t="shared" si="2"/>
        <v>269000</v>
      </c>
      <c r="H5" s="63">
        <f t="shared" si="2"/>
        <v>269769.87931652967</v>
      </c>
      <c r="I5" s="63">
        <f t="shared" si="2"/>
        <v>270877.62203395151</v>
      </c>
      <c r="J5" s="63">
        <f t="shared" si="2"/>
        <v>271989.91342052468</v>
      </c>
      <c r="K5" s="63">
        <f t="shared" si="2"/>
        <v>273106.7721542244</v>
      </c>
      <c r="L5" s="89" t="s">
        <v>223</v>
      </c>
      <c r="N5" s="70">
        <f>0.07</f>
        <v>7.0000000000000007E-2</v>
      </c>
      <c r="O5" s="89" t="s">
        <v>220</v>
      </c>
    </row>
    <row r="6" spans="1:18" s="60" customFormat="1" ht="28.9" x14ac:dyDescent="0.3">
      <c r="A6" s="105" t="s">
        <v>171</v>
      </c>
      <c r="B6" s="63">
        <v>0</v>
      </c>
      <c r="C6" s="63">
        <v>0</v>
      </c>
      <c r="D6" s="63">
        <v>0</v>
      </c>
      <c r="E6" s="63">
        <v>0</v>
      </c>
      <c r="F6" s="63">
        <v>0</v>
      </c>
      <c r="G6" s="63">
        <v>0</v>
      </c>
      <c r="H6" s="63">
        <v>0</v>
      </c>
      <c r="I6" s="63">
        <v>0</v>
      </c>
      <c r="J6" s="63">
        <v>0</v>
      </c>
      <c r="K6" s="63">
        <v>0</v>
      </c>
      <c r="L6" s="120" t="s">
        <v>259</v>
      </c>
      <c r="N6" s="65">
        <v>0.05</v>
      </c>
      <c r="O6" s="89" t="s">
        <v>204</v>
      </c>
    </row>
    <row r="7" spans="1:18" s="60" customFormat="1" ht="28.9" x14ac:dyDescent="0.3">
      <c r="A7" s="105" t="s">
        <v>172</v>
      </c>
      <c r="B7" s="63">
        <v>18866.666666666668</v>
      </c>
      <c r="C7" s="63">
        <f>B7</f>
        <v>18866.666666666668</v>
      </c>
      <c r="D7" s="63">
        <f t="shared" ref="D7:K8" si="3">C7</f>
        <v>18866.666666666668</v>
      </c>
      <c r="E7" s="63">
        <f t="shared" si="3"/>
        <v>18866.666666666668</v>
      </c>
      <c r="F7" s="63">
        <f t="shared" si="3"/>
        <v>18866.666666666668</v>
      </c>
      <c r="G7" s="63">
        <f t="shared" si="3"/>
        <v>18866.666666666668</v>
      </c>
      <c r="H7" s="63">
        <f t="shared" si="3"/>
        <v>18866.666666666668</v>
      </c>
      <c r="I7" s="63">
        <f t="shared" si="3"/>
        <v>18866.666666666668</v>
      </c>
      <c r="J7" s="63">
        <f t="shared" si="3"/>
        <v>18866.666666666668</v>
      </c>
      <c r="K7" s="63">
        <f t="shared" si="3"/>
        <v>18866.666666666668</v>
      </c>
      <c r="L7" s="89" t="s">
        <v>260</v>
      </c>
      <c r="N7" s="86">
        <v>0.85099999999999998</v>
      </c>
      <c r="O7" s="89" t="s">
        <v>168</v>
      </c>
    </row>
    <row r="8" spans="1:18" s="60" customFormat="1" ht="14.45" x14ac:dyDescent="0.3">
      <c r="A8" s="105" t="s">
        <v>173</v>
      </c>
      <c r="B8" s="67">
        <v>4143.3333333333339</v>
      </c>
      <c r="C8" s="67">
        <f>B8</f>
        <v>4143.3333333333339</v>
      </c>
      <c r="D8" s="67">
        <f t="shared" si="3"/>
        <v>4143.3333333333339</v>
      </c>
      <c r="E8" s="67">
        <f t="shared" si="3"/>
        <v>4143.3333333333339</v>
      </c>
      <c r="F8" s="67">
        <f t="shared" si="3"/>
        <v>4143.3333333333339</v>
      </c>
      <c r="G8" s="67">
        <f t="shared" si="3"/>
        <v>4143.3333333333339</v>
      </c>
      <c r="H8" s="67">
        <f t="shared" si="3"/>
        <v>4143.3333333333339</v>
      </c>
      <c r="I8" s="67">
        <f t="shared" si="3"/>
        <v>4143.3333333333339</v>
      </c>
      <c r="J8" s="67">
        <f t="shared" si="3"/>
        <v>4143.3333333333339</v>
      </c>
      <c r="K8" s="67">
        <f t="shared" si="3"/>
        <v>4143.3333333333339</v>
      </c>
      <c r="L8" s="89" t="s">
        <v>258</v>
      </c>
      <c r="O8" s="107"/>
    </row>
    <row r="9" spans="1:18" s="60" customFormat="1" ht="28.9" x14ac:dyDescent="0.3">
      <c r="A9" s="105" t="s">
        <v>153</v>
      </c>
      <c r="B9" s="73">
        <v>0.34</v>
      </c>
      <c r="C9" s="59">
        <v>0.36</v>
      </c>
      <c r="D9" s="59">
        <v>0.37</v>
      </c>
      <c r="E9" s="59">
        <v>0.39</v>
      </c>
      <c r="F9" s="59">
        <v>0.41</v>
      </c>
      <c r="G9" s="59">
        <v>0.42</v>
      </c>
      <c r="H9" s="59">
        <v>0.44</v>
      </c>
      <c r="I9" s="59">
        <v>0.46</v>
      </c>
      <c r="J9" s="59">
        <v>0.48</v>
      </c>
      <c r="K9" s="59">
        <v>0.5</v>
      </c>
      <c r="L9" s="89" t="s">
        <v>248</v>
      </c>
      <c r="N9" s="66">
        <v>4.1062505578026709E-3</v>
      </c>
      <c r="O9" s="89" t="s">
        <v>206</v>
      </c>
    </row>
    <row r="10" spans="1:18" s="60" customFormat="1" ht="15.6" x14ac:dyDescent="0.3">
      <c r="A10" s="105" t="s">
        <v>174</v>
      </c>
      <c r="B10" s="63">
        <f>B5*B9</f>
        <v>90100</v>
      </c>
      <c r="C10" s="63">
        <f t="shared" ref="C10:K10" si="4">C5*C9</f>
        <v>95760</v>
      </c>
      <c r="D10" s="63">
        <f t="shared" si="4"/>
        <v>98790</v>
      </c>
      <c r="E10" s="63">
        <f t="shared" si="4"/>
        <v>104520</v>
      </c>
      <c r="F10" s="63">
        <f t="shared" si="4"/>
        <v>110290</v>
      </c>
      <c r="G10" s="63">
        <f t="shared" si="4"/>
        <v>112980</v>
      </c>
      <c r="H10" s="63">
        <f t="shared" si="4"/>
        <v>118698.74689927306</v>
      </c>
      <c r="I10" s="63">
        <f t="shared" si="4"/>
        <v>124603.7061356177</v>
      </c>
      <c r="J10" s="63">
        <f t="shared" si="4"/>
        <v>130555.15844185185</v>
      </c>
      <c r="K10" s="63">
        <f t="shared" si="4"/>
        <v>136553.3860771122</v>
      </c>
      <c r="L10" s="89" t="s">
        <v>207</v>
      </c>
      <c r="N10" s="68"/>
      <c r="O10" s="62"/>
    </row>
    <row r="11" spans="1:18" s="60" customFormat="1" ht="28.9" x14ac:dyDescent="0.3">
      <c r="A11" s="105" t="s">
        <v>175</v>
      </c>
      <c r="B11" s="63">
        <f t="shared" ref="B11:K11" si="5">MAX(B3-SUM(B6:B8,B10), B3*$N$6)</f>
        <v>159169.59132343088</v>
      </c>
      <c r="C11" s="63">
        <f t="shared" si="5"/>
        <v>154627.63954718102</v>
      </c>
      <c r="D11" s="63">
        <f t="shared" si="5"/>
        <v>152720.27875707357</v>
      </c>
      <c r="E11" s="63">
        <f t="shared" si="5"/>
        <v>148117.52780484792</v>
      </c>
      <c r="F11" s="63">
        <f t="shared" si="5"/>
        <v>143479.40561965352</v>
      </c>
      <c r="G11" s="63">
        <f t="shared" si="5"/>
        <v>141925.93120836752</v>
      </c>
      <c r="H11" s="63">
        <f t="shared" si="5"/>
        <v>137348.37675664108</v>
      </c>
      <c r="I11" s="63">
        <f t="shared" si="5"/>
        <v>132589.29598996736</v>
      </c>
      <c r="J11" s="63">
        <f t="shared" si="5"/>
        <v>127788.42741750937</v>
      </c>
      <c r="K11" s="63">
        <f t="shared" si="5"/>
        <v>122945.50810112382</v>
      </c>
      <c r="L11" s="89" t="s">
        <v>208</v>
      </c>
      <c r="N11" s="68"/>
      <c r="O11" s="62"/>
    </row>
    <row r="12" spans="1:18" s="60" customFormat="1" ht="43.9" x14ac:dyDescent="0.35">
      <c r="A12" s="105" t="s">
        <v>197</v>
      </c>
      <c r="B12" s="63">
        <f t="shared" ref="B12:K12" si="6">B6*$N$3+B11*$N$2</f>
        <v>69302.440062221809</v>
      </c>
      <c r="C12" s="63">
        <f t="shared" si="6"/>
        <v>67324.874258842625</v>
      </c>
      <c r="D12" s="63">
        <f t="shared" si="6"/>
        <v>66494.409370829831</v>
      </c>
      <c r="E12" s="63">
        <f t="shared" si="6"/>
        <v>64490.371606230787</v>
      </c>
      <c r="F12" s="63">
        <f t="shared" si="6"/>
        <v>62470.933206797148</v>
      </c>
      <c r="G12" s="63">
        <f t="shared" si="6"/>
        <v>61794.55044812322</v>
      </c>
      <c r="H12" s="63">
        <f t="shared" si="6"/>
        <v>59801.483239841531</v>
      </c>
      <c r="I12" s="63">
        <f t="shared" si="6"/>
        <v>57729.37947403179</v>
      </c>
      <c r="J12" s="63">
        <f t="shared" si="6"/>
        <v>55639.08129758358</v>
      </c>
      <c r="K12" s="63">
        <f t="shared" si="6"/>
        <v>53530.474227229315</v>
      </c>
      <c r="L12" s="108" t="s">
        <v>209</v>
      </c>
    </row>
    <row r="13" spans="1:18" s="60" customFormat="1" ht="86.45" x14ac:dyDescent="0.3">
      <c r="A13" s="105"/>
      <c r="B13" s="146" t="s">
        <v>210</v>
      </c>
      <c r="C13" s="147"/>
      <c r="D13" s="147"/>
      <c r="E13" s="147"/>
      <c r="F13" s="147"/>
      <c r="G13" s="147"/>
      <c r="H13" s="147"/>
      <c r="I13" s="147"/>
      <c r="J13" s="148"/>
      <c r="K13" s="87">
        <v>0</v>
      </c>
      <c r="L13" s="108" t="s">
        <v>216</v>
      </c>
    </row>
    <row r="14" spans="1:18" ht="28.9" x14ac:dyDescent="0.3">
      <c r="A14" s="105" t="s">
        <v>167</v>
      </c>
      <c r="B14" s="83">
        <v>0.81699999999999995</v>
      </c>
      <c r="C14" s="83">
        <v>0.78300000000000003</v>
      </c>
      <c r="D14" s="83">
        <v>0.749</v>
      </c>
      <c r="E14" s="83">
        <v>0.71499999999999997</v>
      </c>
      <c r="F14" s="83">
        <v>0.68100000000000005</v>
      </c>
      <c r="G14" s="83">
        <v>0.64700000000000002</v>
      </c>
      <c r="H14" s="83">
        <v>0.61399999999999999</v>
      </c>
      <c r="I14" s="83">
        <v>0.57999999999999996</v>
      </c>
      <c r="J14" s="83">
        <v>0.54600000000000004</v>
      </c>
      <c r="K14" s="83">
        <v>0.51100000000000001</v>
      </c>
      <c r="L14" s="89" t="s">
        <v>215</v>
      </c>
      <c r="N14" s="60"/>
      <c r="O14" s="60"/>
      <c r="P14" s="60"/>
      <c r="Q14" s="60"/>
      <c r="R14" s="60"/>
    </row>
    <row r="15" spans="1:18" s="60" customFormat="1" ht="28.9" x14ac:dyDescent="0.3">
      <c r="A15" s="105" t="s">
        <v>198</v>
      </c>
      <c r="B15" s="88">
        <f t="shared" ref="B15:K15" si="7">$K$13*B14</f>
        <v>0</v>
      </c>
      <c r="C15" s="88">
        <f t="shared" si="7"/>
        <v>0</v>
      </c>
      <c r="D15" s="88">
        <f t="shared" si="7"/>
        <v>0</v>
      </c>
      <c r="E15" s="88">
        <f t="shared" si="7"/>
        <v>0</v>
      </c>
      <c r="F15" s="88">
        <f t="shared" si="7"/>
        <v>0</v>
      </c>
      <c r="G15" s="88">
        <f t="shared" si="7"/>
        <v>0</v>
      </c>
      <c r="H15" s="88">
        <f t="shared" si="7"/>
        <v>0</v>
      </c>
      <c r="I15" s="88">
        <f t="shared" si="7"/>
        <v>0</v>
      </c>
      <c r="J15" s="88">
        <f t="shared" si="7"/>
        <v>0</v>
      </c>
      <c r="K15" s="88">
        <f t="shared" si="7"/>
        <v>0</v>
      </c>
      <c r="L15" s="108" t="s">
        <v>211</v>
      </c>
    </row>
    <row r="16" spans="1:18" s="60" customFormat="1" ht="30" x14ac:dyDescent="0.35">
      <c r="A16" s="105" t="s">
        <v>199</v>
      </c>
      <c r="B16" s="82">
        <f t="shared" ref="B16:K16" si="8">B12/B3</f>
        <v>0.25452675217181442</v>
      </c>
      <c r="C16" s="82">
        <f t="shared" si="8"/>
        <v>0.2462525805648888</v>
      </c>
      <c r="D16" s="82">
        <f t="shared" si="8"/>
        <v>0.2422203914111262</v>
      </c>
      <c r="E16" s="82">
        <f t="shared" si="8"/>
        <v>0.2339595501538054</v>
      </c>
      <c r="F16" s="82">
        <f t="shared" si="8"/>
        <v>0.22570658054177575</v>
      </c>
      <c r="G16" s="82">
        <f t="shared" si="8"/>
        <v>0.2223497954199421</v>
      </c>
      <c r="H16" s="82">
        <f t="shared" si="8"/>
        <v>0.21429835747027395</v>
      </c>
      <c r="I16" s="82">
        <f t="shared" si="8"/>
        <v>0.2060269841368719</v>
      </c>
      <c r="J16" s="82">
        <f t="shared" si="8"/>
        <v>0.19775501039960303</v>
      </c>
      <c r="K16" s="82">
        <f t="shared" si="8"/>
        <v>0.18948243871379397</v>
      </c>
      <c r="L16" s="89" t="s">
        <v>212</v>
      </c>
    </row>
    <row r="17" spans="1:18" s="60" customFormat="1" ht="30.6" thickBot="1" x14ac:dyDescent="0.4">
      <c r="A17" s="105" t="s">
        <v>200</v>
      </c>
      <c r="B17" s="81">
        <f>B15*B16</f>
        <v>0</v>
      </c>
      <c r="C17" s="81">
        <f t="shared" ref="C17:K17" si="9">C15*C16</f>
        <v>0</v>
      </c>
      <c r="D17" s="81">
        <f t="shared" si="9"/>
        <v>0</v>
      </c>
      <c r="E17" s="81">
        <f t="shared" si="9"/>
        <v>0</v>
      </c>
      <c r="F17" s="81">
        <f t="shared" si="9"/>
        <v>0</v>
      </c>
      <c r="G17" s="81">
        <f t="shared" si="9"/>
        <v>0</v>
      </c>
      <c r="H17" s="81">
        <f t="shared" si="9"/>
        <v>0</v>
      </c>
      <c r="I17" s="81">
        <f t="shared" si="9"/>
        <v>0</v>
      </c>
      <c r="J17" s="81">
        <f t="shared" si="9"/>
        <v>0</v>
      </c>
      <c r="K17" s="81">
        <f t="shared" si="9"/>
        <v>0</v>
      </c>
      <c r="L17" s="89" t="s">
        <v>213</v>
      </c>
    </row>
    <row r="18" spans="1:18" ht="43.9" thickBot="1" x14ac:dyDescent="0.35">
      <c r="A18" s="128" t="s">
        <v>201</v>
      </c>
      <c r="B18" s="84">
        <f t="shared" ref="B18:K18" si="10">B12*(B14/$N$7)-B17</f>
        <v>66533.599918725289</v>
      </c>
      <c r="C18" s="84">
        <f t="shared" si="10"/>
        <v>61945.213330991508</v>
      </c>
      <c r="D18" s="84">
        <f t="shared" si="10"/>
        <v>58524.45666128266</v>
      </c>
      <c r="E18" s="84">
        <f t="shared" si="10"/>
        <v>54184.037248478278</v>
      </c>
      <c r="F18" s="84">
        <f t="shared" si="10"/>
        <v>49991.428335874109</v>
      </c>
      <c r="G18" s="84">
        <f t="shared" si="10"/>
        <v>46981.28571085279</v>
      </c>
      <c r="H18" s="84">
        <f t="shared" si="10"/>
        <v>43147.016109591888</v>
      </c>
      <c r="I18" s="84">
        <f t="shared" si="10"/>
        <v>39345.523025779599</v>
      </c>
      <c r="J18" s="84">
        <f t="shared" si="10"/>
        <v>35697.929951211088</v>
      </c>
      <c r="K18" s="84">
        <f t="shared" si="10"/>
        <v>32143.445746315138</v>
      </c>
      <c r="L18" s="93" t="s">
        <v>214</v>
      </c>
      <c r="N18" s="60"/>
      <c r="O18" s="60"/>
      <c r="P18" s="60"/>
      <c r="Q18" s="60"/>
      <c r="R18" s="60"/>
    </row>
    <row r="19" spans="1:18" ht="14.45" x14ac:dyDescent="0.3">
      <c r="A19" s="85"/>
      <c r="B19" s="85"/>
      <c r="C19" s="85"/>
      <c r="D19" s="85"/>
      <c r="E19" s="85"/>
      <c r="F19" s="85"/>
      <c r="G19" s="85"/>
      <c r="H19" s="85"/>
      <c r="I19" s="85"/>
      <c r="J19" s="85"/>
      <c r="K19" s="85"/>
      <c r="N19" s="60"/>
      <c r="O19" s="60"/>
      <c r="P19" s="60"/>
      <c r="Q19" s="60"/>
      <c r="R19" s="60"/>
    </row>
  </sheetData>
  <mergeCells count="3">
    <mergeCell ref="B1:L1"/>
    <mergeCell ref="N1:O1"/>
    <mergeCell ref="B13:J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ca26f5a5-e6f7-400b-b714-ab8597533a8e">7ENCYVACPHVT-1159094155-97</_dlc_DocId>
    <_dlc_DocIdUrl xmlns="ca26f5a5-e6f7-400b-b714-ab8597533a8e">
      <Url>https://share.arb.ca.gov/divisions/ISD/CT2016/_layouts/15/DocIdRedir.aspx?ID=7ENCYVACPHVT-1159094155-97</Url>
      <Description>7ENCYVACPHVT-1159094155-97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0FE5CE0E1B8274CBDB98A5756930FBC" ma:contentTypeVersion="1" ma:contentTypeDescription="Create a new document." ma:contentTypeScope="" ma:versionID="6fbd936646a34b784f5985780b389a14">
  <xsd:schema xmlns:xsd="http://www.w3.org/2001/XMLSchema" xmlns:xs="http://www.w3.org/2001/XMLSchema" xmlns:p="http://schemas.microsoft.com/office/2006/metadata/properties" xmlns:ns2="ca26f5a5-e6f7-400b-b714-ab8597533a8e" xmlns:ns3="b37ce613-1334-4330-8191-2dedd49b8a08" targetNamespace="http://schemas.microsoft.com/office/2006/metadata/properties" ma:root="true" ma:fieldsID="3fd53d8a359b70ad75a3f8c6f0f6acbb" ns2:_="" ns3:_="">
    <xsd:import namespace="ca26f5a5-e6f7-400b-b714-ab8597533a8e"/>
    <xsd:import namespace="b37ce613-1334-4330-8191-2dedd49b8a08"/>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26f5a5-e6f7-400b-b714-ab8597533a8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37ce613-1334-4330-8191-2dedd49b8a08"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A4C77A-8886-4A36-918B-4E3F8482F706}">
  <ds:schemaRefs>
    <ds:schemaRef ds:uri="http://schemas.microsoft.com/sharepoint/v3/contenttype/forms"/>
  </ds:schemaRefs>
</ds:datastoreItem>
</file>

<file path=customXml/itemProps2.xml><?xml version="1.0" encoding="utf-8"?>
<ds:datastoreItem xmlns:ds="http://schemas.openxmlformats.org/officeDocument/2006/customXml" ds:itemID="{7CCCB787-3CC4-4248-9F76-2CE68BB38F40}">
  <ds:schemaRefs>
    <ds:schemaRef ds:uri="http://schemas.microsoft.com/sharepoint/events"/>
  </ds:schemaRefs>
</ds:datastoreItem>
</file>

<file path=customXml/itemProps3.xml><?xml version="1.0" encoding="utf-8"?>
<ds:datastoreItem xmlns:ds="http://schemas.openxmlformats.org/officeDocument/2006/customXml" ds:itemID="{2CFA8F65-8890-456E-8AE5-E2A61C1A62AD}">
  <ds:schemaRefs>
    <ds:schemaRef ds:uri="http://schemas.microsoft.com/office/2006/metadata/properties"/>
    <ds:schemaRef ds:uri="http://purl.org/dc/terms/"/>
    <ds:schemaRef ds:uri="http://schemas.microsoft.com/office/2006/documentManagement/types"/>
    <ds:schemaRef ds:uri="http://purl.org/dc/elements/1.1/"/>
    <ds:schemaRef ds:uri="http://schemas.microsoft.com/office/infopath/2007/PartnerControls"/>
    <ds:schemaRef ds:uri="ca26f5a5-e6f7-400b-b714-ab8597533a8e"/>
    <ds:schemaRef ds:uri="b37ce613-1334-4330-8191-2dedd49b8a08"/>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70FE43E4-F233-4F8A-89F1-94789F58D0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26f5a5-e6f7-400b-b714-ab8597533a8e"/>
    <ds:schemaRef ds:uri="b37ce613-1334-4330-8191-2dedd49b8a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Information</vt:lpstr>
      <vt:lpstr>Table 9-4</vt:lpstr>
      <vt:lpstr>Form 1.5a</vt:lpstr>
      <vt:lpstr>Form 1.1c</vt:lpstr>
      <vt:lpstr>Alameda</vt:lpstr>
      <vt:lpstr>Anza</vt:lpstr>
      <vt:lpstr>CCSF</vt:lpstr>
      <vt:lpstr>Anaheim</vt:lpstr>
      <vt:lpstr>Azusa</vt:lpstr>
      <vt:lpstr>Banning</vt:lpstr>
      <vt:lpstr>Biggs</vt:lpstr>
      <vt:lpstr>Burbank</vt:lpstr>
      <vt:lpstr>Cerritos</vt:lpstr>
      <vt:lpstr>Colton</vt:lpstr>
      <vt:lpstr>Corona</vt:lpstr>
      <vt:lpstr>Glendale</vt:lpstr>
      <vt:lpstr>Healdsburg</vt:lpstr>
      <vt:lpstr>Industry</vt:lpstr>
      <vt:lpstr>Lodi</vt:lpstr>
      <vt:lpstr>Lompoc</vt:lpstr>
      <vt:lpstr>MorenoValley</vt:lpstr>
      <vt:lpstr>Needles</vt:lpstr>
      <vt:lpstr>Oakland</vt:lpstr>
      <vt:lpstr>Palo Alto</vt:lpstr>
      <vt:lpstr>RanchoCucamonga</vt:lpstr>
      <vt:lpstr>Riverside</vt:lpstr>
      <vt:lpstr>Roseville</vt:lpstr>
      <vt:lpstr>ShastaLake</vt:lpstr>
      <vt:lpstr>Ukiah</vt:lpstr>
      <vt:lpstr>Vernon</vt:lpstr>
      <vt:lpstr>Victorville</vt:lpstr>
      <vt:lpstr>Eastside</vt:lpstr>
      <vt:lpstr>GoldenState</vt:lpstr>
      <vt:lpstr>Gridley</vt:lpstr>
      <vt:lpstr>ImperialID</vt:lpstr>
      <vt:lpstr>Kirkwood</vt:lpstr>
      <vt:lpstr>Lassen</vt:lpstr>
      <vt:lpstr>Liberty</vt:lpstr>
      <vt:lpstr>LADWP</vt:lpstr>
      <vt:lpstr>MercedID</vt:lpstr>
      <vt:lpstr>ModestoID</vt:lpstr>
      <vt:lpstr>PGE</vt:lpstr>
      <vt:lpstr>PacifiCorp</vt:lpstr>
      <vt:lpstr>Pasadena</vt:lpstr>
      <vt:lpstr>Pittsburg</vt:lpstr>
      <vt:lpstr>PlumasSierra</vt:lpstr>
      <vt:lpstr>PWRPA</vt:lpstr>
      <vt:lpstr>Redding</vt:lpstr>
      <vt:lpstr>SMUD</vt:lpstr>
      <vt:lpstr>SDGE</vt:lpstr>
      <vt:lpstr>SiliconValley</vt:lpstr>
      <vt:lpstr>SCE</vt:lpstr>
      <vt:lpstr>Stockton</vt:lpstr>
      <vt:lpstr>SurpriseValley</vt:lpstr>
      <vt:lpstr>TruckeeDonner</vt:lpstr>
      <vt:lpstr>TurlockID</vt:lpstr>
      <vt:lpstr>ValleyElectric</vt:lpstr>
      <vt:lpstr>WAPA</vt:lpstr>
    </vt:vector>
  </TitlesOfParts>
  <Company>carb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Eileen R. Hlavka</dc:creator>
  <cp:lastModifiedBy>Nicole Hutchinson</cp:lastModifiedBy>
  <cp:lastPrinted>2016-06-21T18:45:29Z</cp:lastPrinted>
  <dcterms:created xsi:type="dcterms:W3CDTF">2016-04-14T23:43:30Z</dcterms:created>
  <dcterms:modified xsi:type="dcterms:W3CDTF">2016-12-15T22:16:52Z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0x01010070FE5CE0E1B8274CBDB98A5756930FBC</vt:lpwstr>
  </property>
  <property fmtid="{D5CDD505-2E9C-101B-9397-08002B2CF9AE}" pid="3" name="_dlc_DocIdItemGuid">
    <vt:lpwstr>8d074b1e-459e-493b-a15d-a6eb9b18341f</vt:lpwstr>
  </property>
</Properties>
</file>